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segokoape/Downloads/Masego ka Mapule Trademark/"/>
    </mc:Choice>
  </mc:AlternateContent>
  <xr:revisionPtr revIDLastSave="0" documentId="13_ncr:1_{57EE41D6-9366-9D43-85D2-DD8903ED0A2E}" xr6:coauthVersionLast="47" xr6:coauthVersionMax="47" xr10:uidLastSave="{00000000-0000-0000-0000-000000000000}"/>
  <bookViews>
    <workbookView xWindow="760" yWindow="880" windowWidth="25220" windowHeight="15800" activeTab="1" xr2:uid="{FE115CFF-127B-9849-A0FD-F02392BC1641}"/>
  </bookViews>
  <sheets>
    <sheet name="Table of content" sheetId="8" r:id="rId1"/>
    <sheet name="1. Assumptions" sheetId="1" r:id="rId2"/>
    <sheet name="Potential Partnerships" sheetId="15" r:id="rId3"/>
    <sheet name="Brands - MMK" sheetId="16" r:id="rId4"/>
    <sheet name="Membership Income" sheetId="19" r:id="rId5"/>
    <sheet name="SAICA Association" sheetId="17" r:id="rId6"/>
    <sheet name="Qualifications" sheetId="18" r:id="rId7"/>
    <sheet name="2. Clients secured" sheetId="9" r:id="rId8"/>
    <sheet name="3. SOPL (Best Case Scenario)" sheetId="2" r:id="rId9"/>
    <sheet name="2026 SOPL (Best Case Scenario)" sheetId="6" r:id="rId10"/>
    <sheet name="SOPL (Worst Case Scenario)" sheetId="5" r:id="rId11"/>
    <sheet name="2026 SOPL (Worst Case Scenario)" sheetId="7" r:id="rId12"/>
    <sheet name="Projected BS" sheetId="3" r:id="rId13"/>
    <sheet name="Projected CFS" sheetId="4" r:id="rId14"/>
    <sheet name="2026 CFS (Best Case)" sheetId="13" r:id="rId15"/>
    <sheet name="2026 CFS (Worst Case)" sheetId="11" r:id="rId16"/>
    <sheet name="NPV Calculation (Best Case)" sheetId="10" r:id="rId17"/>
    <sheet name="NPV Calculation (Worst Case)" sheetId="1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4" l="1"/>
  <c r="F20" i="14"/>
  <c r="G20" i="14"/>
  <c r="H20" i="14"/>
  <c r="I20" i="14"/>
  <c r="J20" i="14"/>
  <c r="K20" i="14"/>
  <c r="L20" i="14"/>
  <c r="M20" i="14"/>
  <c r="D20" i="14"/>
  <c r="M19" i="14"/>
  <c r="L19" i="14"/>
  <c r="K19" i="14"/>
  <c r="J19" i="14"/>
  <c r="I19" i="14"/>
  <c r="H19" i="14"/>
  <c r="G19" i="14"/>
  <c r="M19" i="10"/>
  <c r="L19" i="10"/>
  <c r="K19" i="10"/>
  <c r="J19" i="10"/>
  <c r="I19" i="10"/>
  <c r="H19" i="10"/>
  <c r="G19" i="10"/>
  <c r="G18" i="10"/>
  <c r="H18" i="10"/>
  <c r="I18" i="10" s="1"/>
  <c r="J18" i="10" s="1"/>
  <c r="K18" i="10" s="1"/>
  <c r="F18" i="10"/>
  <c r="E18" i="10"/>
  <c r="F19" i="14"/>
  <c r="E19" i="14"/>
  <c r="D19" i="14"/>
  <c r="F18" i="14"/>
  <c r="G18" i="14"/>
  <c r="H18" i="14"/>
  <c r="I18" i="14"/>
  <c r="J18" i="14"/>
  <c r="K18" i="14"/>
  <c r="L18" i="14"/>
  <c r="M18" i="14"/>
  <c r="E18" i="14"/>
  <c r="D18" i="14"/>
  <c r="F19" i="10"/>
  <c r="E19" i="10"/>
  <c r="D19" i="10"/>
  <c r="E4" i="14"/>
  <c r="F4" i="14"/>
  <c r="G4" i="14"/>
  <c r="H4" i="14"/>
  <c r="I4" i="14"/>
  <c r="J4" i="14"/>
  <c r="K4" i="14"/>
  <c r="L4" i="14"/>
  <c r="M4" i="14"/>
  <c r="E20" i="5"/>
  <c r="F20" i="5"/>
  <c r="G20" i="5"/>
  <c r="H20" i="5"/>
  <c r="I20" i="5"/>
  <c r="J20" i="5"/>
  <c r="K20" i="5"/>
  <c r="D20" i="5"/>
  <c r="C20" i="5"/>
  <c r="J4" i="10"/>
  <c r="K4" i="10"/>
  <c r="L4" i="10"/>
  <c r="E4" i="10"/>
  <c r="F4" i="10"/>
  <c r="G4" i="10"/>
  <c r="H4" i="10"/>
  <c r="I4" i="10"/>
  <c r="F20" i="10"/>
  <c r="G20" i="10"/>
  <c r="H20" i="10"/>
  <c r="I20" i="10"/>
  <c r="J20" i="10"/>
  <c r="K20" i="10"/>
  <c r="L20" i="10"/>
  <c r="M20" i="10"/>
  <c r="E20" i="10"/>
  <c r="D18" i="10"/>
  <c r="L18" i="10" l="1"/>
  <c r="M18" i="10" l="1"/>
  <c r="E21" i="10" l="1"/>
  <c r="F21" i="10"/>
  <c r="G21" i="10"/>
  <c r="H21" i="10"/>
  <c r="I21" i="10"/>
  <c r="D21" i="10"/>
  <c r="M4" i="10" l="1"/>
  <c r="C56" i="4"/>
  <c r="D58" i="4"/>
  <c r="E58" i="4"/>
  <c r="F58" i="4"/>
  <c r="G58" i="4"/>
  <c r="H58" i="4"/>
  <c r="I58" i="4"/>
  <c r="J58" i="4"/>
  <c r="K58" i="4"/>
  <c r="C55" i="4"/>
  <c r="C58" i="4" s="1"/>
  <c r="I21" i="14"/>
  <c r="E21" i="14"/>
  <c r="H21" i="14" s="1"/>
  <c r="D21" i="14"/>
  <c r="D13" i="14"/>
  <c r="M11" i="14"/>
  <c r="C9" i="14"/>
  <c r="C3" i="14"/>
  <c r="C5" i="14" s="1"/>
  <c r="K91" i="3"/>
  <c r="G24" i="4"/>
  <c r="H24" i="4"/>
  <c r="I24" i="4"/>
  <c r="J24" i="4"/>
  <c r="K24" i="4"/>
  <c r="D24" i="4"/>
  <c r="E24" i="4"/>
  <c r="F24" i="4"/>
  <c r="C22" i="4"/>
  <c r="C21" i="4"/>
  <c r="B26" i="4"/>
  <c r="C22" i="13"/>
  <c r="D22" i="13"/>
  <c r="E22" i="13"/>
  <c r="F22" i="13"/>
  <c r="G22" i="13"/>
  <c r="H22" i="13"/>
  <c r="I22" i="13"/>
  <c r="J22" i="13"/>
  <c r="K22" i="13"/>
  <c r="L22" i="13"/>
  <c r="M22" i="13"/>
  <c r="B22" i="13"/>
  <c r="B21" i="4"/>
  <c r="B14" i="4"/>
  <c r="B13" i="4"/>
  <c r="B12" i="4"/>
  <c r="B11" i="4"/>
  <c r="B28" i="13"/>
  <c r="B28" i="4" s="1"/>
  <c r="B23" i="13"/>
  <c r="B60" i="4"/>
  <c r="B55" i="4"/>
  <c r="B20" i="11"/>
  <c r="B57" i="4" s="1"/>
  <c r="C153" i="3"/>
  <c r="C73" i="3"/>
  <c r="C76" i="3"/>
  <c r="D29" i="4" s="1"/>
  <c r="D140" i="3"/>
  <c r="E140" i="3"/>
  <c r="F140" i="3"/>
  <c r="G140" i="3"/>
  <c r="C140" i="3"/>
  <c r="B91" i="3" s="1"/>
  <c r="K146" i="3"/>
  <c r="J146" i="3"/>
  <c r="I146" i="3"/>
  <c r="H146" i="3"/>
  <c r="G146" i="3"/>
  <c r="F146" i="3"/>
  <c r="E146" i="3"/>
  <c r="D146" i="3"/>
  <c r="C146" i="3"/>
  <c r="C92" i="3" s="1"/>
  <c r="C131" i="3"/>
  <c r="B17" i="11" s="1"/>
  <c r="K124" i="3"/>
  <c r="J124" i="3"/>
  <c r="I124" i="3"/>
  <c r="I43" i="4" s="1"/>
  <c r="H124" i="3"/>
  <c r="H43" i="4" s="1"/>
  <c r="G124" i="3"/>
  <c r="F124" i="3"/>
  <c r="E124" i="3"/>
  <c r="D124" i="3"/>
  <c r="C124" i="3"/>
  <c r="C89" i="3" s="1"/>
  <c r="E66" i="3"/>
  <c r="F66" i="3"/>
  <c r="G66" i="3"/>
  <c r="H66" i="3"/>
  <c r="I66" i="3"/>
  <c r="J66" i="3"/>
  <c r="K66" i="3"/>
  <c r="D66" i="3"/>
  <c r="C66" i="3"/>
  <c r="C12" i="3" s="1"/>
  <c r="C50" i="3"/>
  <c r="C51" i="3" s="1"/>
  <c r="D60" i="3"/>
  <c r="E60" i="3"/>
  <c r="F60" i="3"/>
  <c r="G60" i="3"/>
  <c r="C60" i="3"/>
  <c r="C20" i="6" s="1"/>
  <c r="C8" i="13" s="1"/>
  <c r="F20" i="13" l="1"/>
  <c r="C134" i="3"/>
  <c r="D134" i="3" s="1"/>
  <c r="E134" i="3" s="1"/>
  <c r="F134" i="3" s="1"/>
  <c r="G134" i="3" s="1"/>
  <c r="H134" i="3" s="1"/>
  <c r="I134" i="3" s="1"/>
  <c r="J134" i="3" s="1"/>
  <c r="K134" i="3" s="1"/>
  <c r="L134" i="3" s="1"/>
  <c r="F21" i="14"/>
  <c r="G21" i="14"/>
  <c r="J43" i="4"/>
  <c r="C91" i="3"/>
  <c r="D91" i="3" s="1"/>
  <c r="E91" i="3" s="1"/>
  <c r="F91" i="3" s="1"/>
  <c r="C20" i="13"/>
  <c r="C24" i="13" s="1"/>
  <c r="D29" i="13"/>
  <c r="D30" i="13" s="1"/>
  <c r="B21" i="11"/>
  <c r="M29" i="13"/>
  <c r="K43" i="4"/>
  <c r="K20" i="13"/>
  <c r="K24" i="13" s="1"/>
  <c r="L29" i="13"/>
  <c r="L30" i="13" s="1"/>
  <c r="F43" i="4"/>
  <c r="J20" i="6"/>
  <c r="J8" i="13" s="1"/>
  <c r="E20" i="13"/>
  <c r="E24" i="13" s="1"/>
  <c r="F29" i="13"/>
  <c r="F30" i="13" s="1"/>
  <c r="K29" i="4"/>
  <c r="G43" i="4"/>
  <c r="I20" i="6"/>
  <c r="I8" i="13" s="1"/>
  <c r="D20" i="13"/>
  <c r="D24" i="13" s="1"/>
  <c r="E29" i="13"/>
  <c r="E30" i="13" s="1"/>
  <c r="C43" i="4"/>
  <c r="B22" i="4"/>
  <c r="H20" i="6"/>
  <c r="H8" i="13" s="1"/>
  <c r="I29" i="4"/>
  <c r="M20" i="13"/>
  <c r="M24" i="13" s="1"/>
  <c r="L20" i="13"/>
  <c r="L24" i="13" s="1"/>
  <c r="B29" i="13"/>
  <c r="B30" i="13" s="1"/>
  <c r="C54" i="3"/>
  <c r="C24" i="4"/>
  <c r="G20" i="7"/>
  <c r="G8" i="11" s="1"/>
  <c r="E20" i="7"/>
  <c r="E8" i="11" s="1"/>
  <c r="H20" i="7"/>
  <c r="H8" i="11" s="1"/>
  <c r="J20" i="7"/>
  <c r="J8" i="11" s="1"/>
  <c r="K20" i="7"/>
  <c r="K8" i="11" s="1"/>
  <c r="I20" i="7"/>
  <c r="I8" i="11" s="1"/>
  <c r="C20" i="7"/>
  <c r="C8" i="11" s="1"/>
  <c r="L20" i="7"/>
  <c r="L8" i="11" s="1"/>
  <c r="D20" i="7"/>
  <c r="D8" i="11" s="1"/>
  <c r="M20" i="7"/>
  <c r="M8" i="11" s="1"/>
  <c r="F20" i="7"/>
  <c r="F8" i="11" s="1"/>
  <c r="E43" i="4"/>
  <c r="B20" i="7"/>
  <c r="F24" i="13"/>
  <c r="D43" i="4"/>
  <c r="J29" i="4"/>
  <c r="J20" i="13"/>
  <c r="J24" i="13" s="1"/>
  <c r="K29" i="13"/>
  <c r="K30" i="13" s="1"/>
  <c r="C29" i="13"/>
  <c r="C30" i="13" s="1"/>
  <c r="G29" i="4"/>
  <c r="H29" i="4"/>
  <c r="F20" i="6"/>
  <c r="F8" i="13" s="1"/>
  <c r="M20" i="6"/>
  <c r="M8" i="13" s="1"/>
  <c r="E20" i="6"/>
  <c r="E8" i="13" s="1"/>
  <c r="B23" i="4"/>
  <c r="F29" i="4"/>
  <c r="G20" i="6"/>
  <c r="G8" i="13" s="1"/>
  <c r="B20" i="6"/>
  <c r="B8" i="13" s="1"/>
  <c r="I20" i="13"/>
  <c r="I24" i="13" s="1"/>
  <c r="J29" i="13"/>
  <c r="J30" i="13" s="1"/>
  <c r="I29" i="13"/>
  <c r="I30" i="13" s="1"/>
  <c r="L20" i="6"/>
  <c r="L8" i="13" s="1"/>
  <c r="G20" i="13"/>
  <c r="G24" i="13" s="1"/>
  <c r="H29" i="13"/>
  <c r="H30" i="13" s="1"/>
  <c r="E29" i="4"/>
  <c r="B11" i="3"/>
  <c r="C11" i="3" s="1"/>
  <c r="D11" i="3" s="1"/>
  <c r="E11" i="3" s="1"/>
  <c r="H20" i="13"/>
  <c r="H24" i="13" s="1"/>
  <c r="D20" i="6"/>
  <c r="D8" i="13" s="1"/>
  <c r="K20" i="6"/>
  <c r="K8" i="13" s="1"/>
  <c r="B20" i="13"/>
  <c r="G29" i="13"/>
  <c r="G30" i="13" s="1"/>
  <c r="C29" i="4"/>
  <c r="B54" i="4"/>
  <c r="B58" i="4" s="1"/>
  <c r="C77" i="3"/>
  <c r="D92" i="3"/>
  <c r="E92" i="3" s="1"/>
  <c r="F92" i="3" s="1"/>
  <c r="G92" i="3" s="1"/>
  <c r="H92" i="3" s="1"/>
  <c r="I92" i="3" s="1"/>
  <c r="J92" i="3" s="1"/>
  <c r="K92" i="3" s="1"/>
  <c r="D89" i="3"/>
  <c r="D12" i="3"/>
  <c r="E12" i="3" s="1"/>
  <c r="F12" i="3" s="1"/>
  <c r="G12" i="3" s="1"/>
  <c r="H12" i="3" s="1"/>
  <c r="I12" i="3" s="1"/>
  <c r="J12" i="3" s="1"/>
  <c r="K12" i="3" s="1"/>
  <c r="B8" i="11" l="1"/>
  <c r="B20" i="5"/>
  <c r="D4" i="14" s="1"/>
  <c r="D54" i="3"/>
  <c r="E54" i="3" s="1"/>
  <c r="F54" i="3" s="1"/>
  <c r="G54" i="3" s="1"/>
  <c r="H54" i="3" s="1"/>
  <c r="I54" i="3" s="1"/>
  <c r="J54" i="3" s="1"/>
  <c r="K54" i="3" s="1"/>
  <c r="L54" i="3" s="1"/>
  <c r="B10" i="3"/>
  <c r="B8" i="3" s="1"/>
  <c r="B43" i="4"/>
  <c r="B20" i="4"/>
  <c r="B24" i="4" s="1"/>
  <c r="B24" i="13"/>
  <c r="B29" i="4"/>
  <c r="B9" i="4"/>
  <c r="B26" i="3"/>
  <c r="C80" i="3"/>
  <c r="D80" i="3" s="1"/>
  <c r="E80" i="3" s="1"/>
  <c r="F80" i="3" s="1"/>
  <c r="G80" i="3" s="1"/>
  <c r="H80" i="3" s="1"/>
  <c r="C74" i="3"/>
  <c r="E89" i="3"/>
  <c r="B90" i="3"/>
  <c r="C90" i="3" s="1"/>
  <c r="D90" i="3" s="1"/>
  <c r="C10" i="3" l="1"/>
  <c r="D10" i="3" s="1"/>
  <c r="F27" i="3"/>
  <c r="F29" i="3" s="1"/>
  <c r="F28" i="3" s="1"/>
  <c r="H27" i="3"/>
  <c r="H29" i="3" s="1"/>
  <c r="H28" i="3" s="1"/>
  <c r="J27" i="3"/>
  <c r="J29" i="3" s="1"/>
  <c r="J28" i="3" s="1"/>
  <c r="K27" i="3"/>
  <c r="K29" i="3" s="1"/>
  <c r="K28" i="3" s="1"/>
  <c r="D27" i="3"/>
  <c r="D29" i="3" s="1"/>
  <c r="D28" i="3" s="1"/>
  <c r="G27" i="3"/>
  <c r="G29" i="3" s="1"/>
  <c r="G28" i="3" s="1"/>
  <c r="I27" i="3"/>
  <c r="I29" i="3" s="1"/>
  <c r="I28" i="3" s="1"/>
  <c r="B27" i="3"/>
  <c r="B29" i="3" s="1"/>
  <c r="B28" i="3" s="1"/>
  <c r="C27" i="3"/>
  <c r="C29" i="3" s="1"/>
  <c r="C28" i="3" s="1"/>
  <c r="E27" i="3"/>
  <c r="E29" i="3" s="1"/>
  <c r="E28" i="3" s="1"/>
  <c r="C75" i="3"/>
  <c r="I80" i="3"/>
  <c r="J80" i="3" s="1"/>
  <c r="K80" i="3" s="1"/>
  <c r="L80" i="3" s="1"/>
  <c r="M80" i="3" s="1"/>
  <c r="N80" i="3" s="1"/>
  <c r="B88" i="3"/>
  <c r="F89" i="3"/>
  <c r="K21" i="2" l="1"/>
  <c r="C21" i="2"/>
  <c r="F30" i="6"/>
  <c r="K30" i="6"/>
  <c r="J30" i="6"/>
  <c r="D21" i="2"/>
  <c r="G30" i="6"/>
  <c r="H30" i="6"/>
  <c r="E21" i="2"/>
  <c r="F21" i="2"/>
  <c r="L30" i="6"/>
  <c r="G21" i="2"/>
  <c r="I30" i="6"/>
  <c r="M30" i="6"/>
  <c r="C30" i="6"/>
  <c r="H21" i="2"/>
  <c r="I21" i="2"/>
  <c r="D30" i="6"/>
  <c r="B30" i="6"/>
  <c r="E30" i="6"/>
  <c r="J21" i="2"/>
  <c r="B25" i="3"/>
  <c r="C26" i="3" s="1"/>
  <c r="E10" i="3"/>
  <c r="G89" i="3"/>
  <c r="C88" i="3"/>
  <c r="H16" i="4" l="1"/>
  <c r="H10" i="4"/>
  <c r="H9" i="13"/>
  <c r="H7" i="13" s="1"/>
  <c r="H15" i="13"/>
  <c r="M15" i="13"/>
  <c r="M9" i="13"/>
  <c r="M7" i="13" s="1"/>
  <c r="D16" i="4"/>
  <c r="D10" i="4"/>
  <c r="J16" i="4"/>
  <c r="J10" i="4"/>
  <c r="I15" i="13"/>
  <c r="I9" i="13"/>
  <c r="I7" i="13" s="1"/>
  <c r="J9" i="13"/>
  <c r="J7" i="13" s="1"/>
  <c r="J15" i="13"/>
  <c r="E9" i="13"/>
  <c r="E7" i="13" s="1"/>
  <c r="E15" i="13"/>
  <c r="G16" i="4"/>
  <c r="G10" i="4"/>
  <c r="K15" i="13"/>
  <c r="K9" i="13"/>
  <c r="K7" i="13" s="1"/>
  <c r="B9" i="13"/>
  <c r="B15" i="13"/>
  <c r="L15" i="13"/>
  <c r="L9" i="13"/>
  <c r="L7" i="13" s="1"/>
  <c r="F9" i="13"/>
  <c r="F7" i="13" s="1"/>
  <c r="F15" i="13"/>
  <c r="C9" i="13"/>
  <c r="C7" i="13" s="1"/>
  <c r="C15" i="13"/>
  <c r="G9" i="13"/>
  <c r="G7" i="13" s="1"/>
  <c r="G15" i="13"/>
  <c r="C25" i="3"/>
  <c r="B31" i="3"/>
  <c r="D9" i="13"/>
  <c r="D7" i="13" s="1"/>
  <c r="D15" i="13"/>
  <c r="F10" i="4"/>
  <c r="F16" i="4"/>
  <c r="C16" i="4"/>
  <c r="C10" i="4"/>
  <c r="I16" i="4"/>
  <c r="I10" i="4"/>
  <c r="E16" i="4"/>
  <c r="E10" i="4"/>
  <c r="K16" i="4"/>
  <c r="K10" i="4"/>
  <c r="F10" i="3"/>
  <c r="B21" i="2"/>
  <c r="E90" i="3"/>
  <c r="D88" i="3"/>
  <c r="H89" i="3"/>
  <c r="E44" i="3"/>
  <c r="E11" i="2" s="1"/>
  <c r="E9" i="4" s="1"/>
  <c r="F44" i="3"/>
  <c r="F11" i="2" s="1"/>
  <c r="F9" i="4" s="1"/>
  <c r="G44" i="3"/>
  <c r="G11" i="2" s="1"/>
  <c r="G9" i="4" s="1"/>
  <c r="H44" i="3"/>
  <c r="H11" i="2" s="1"/>
  <c r="H9" i="4" s="1"/>
  <c r="I44" i="3"/>
  <c r="I11" i="2" s="1"/>
  <c r="I9" i="4" s="1"/>
  <c r="J44" i="3"/>
  <c r="J11" i="2" s="1"/>
  <c r="J9" i="4" s="1"/>
  <c r="K44" i="3"/>
  <c r="K11" i="2" s="1"/>
  <c r="K9" i="4" s="1"/>
  <c r="D44" i="3"/>
  <c r="D11" i="2" s="1"/>
  <c r="D9" i="4" s="1"/>
  <c r="C44" i="3"/>
  <c r="B11" i="2"/>
  <c r="D4" i="10" s="1"/>
  <c r="B15" i="5"/>
  <c r="C15" i="5" s="1"/>
  <c r="D15" i="5" s="1"/>
  <c r="E15" i="5" s="1"/>
  <c r="F15" i="5" s="1"/>
  <c r="G15" i="5" s="1"/>
  <c r="H15" i="5" s="1"/>
  <c r="I15" i="5" s="1"/>
  <c r="J15" i="5" s="1"/>
  <c r="K15" i="5" s="1"/>
  <c r="C23" i="7"/>
  <c r="D23" i="7"/>
  <c r="E23" i="7"/>
  <c r="F23" i="7"/>
  <c r="G23" i="7"/>
  <c r="H23" i="7"/>
  <c r="I23" i="7"/>
  <c r="J23" i="7"/>
  <c r="K23" i="7"/>
  <c r="L23" i="7"/>
  <c r="M23" i="7"/>
  <c r="B23" i="7"/>
  <c r="C26" i="7"/>
  <c r="D26" i="7"/>
  <c r="E26" i="7"/>
  <c r="F26" i="7"/>
  <c r="G26" i="7"/>
  <c r="H26" i="7"/>
  <c r="I26" i="7"/>
  <c r="J26" i="7"/>
  <c r="K26" i="7"/>
  <c r="L26" i="7"/>
  <c r="M26" i="7"/>
  <c r="C27" i="7"/>
  <c r="D27" i="7"/>
  <c r="E27" i="7"/>
  <c r="F27" i="7"/>
  <c r="G27" i="7"/>
  <c r="H27" i="7"/>
  <c r="I27" i="7"/>
  <c r="J27" i="7"/>
  <c r="K27" i="7"/>
  <c r="L27" i="7"/>
  <c r="M27" i="7"/>
  <c r="C29" i="7"/>
  <c r="D29" i="7"/>
  <c r="E29" i="7"/>
  <c r="F29" i="7"/>
  <c r="G29" i="7"/>
  <c r="H29" i="7"/>
  <c r="I29" i="7"/>
  <c r="J29" i="7"/>
  <c r="K29" i="7"/>
  <c r="L29" i="7"/>
  <c r="M29" i="7"/>
  <c r="B26" i="7"/>
  <c r="B27" i="7"/>
  <c r="B29" i="7"/>
  <c r="C130" i="1"/>
  <c r="F19" i="7" s="1"/>
  <c r="L19" i="7" l="1"/>
  <c r="K19" i="7"/>
  <c r="B23" i="5"/>
  <c r="C23" i="5" s="1"/>
  <c r="D23" i="5" s="1"/>
  <c r="E23" i="5" s="1"/>
  <c r="F23" i="5" s="1"/>
  <c r="G23" i="5" s="1"/>
  <c r="H23" i="5" s="1"/>
  <c r="I23" i="5" s="1"/>
  <c r="J23" i="5" s="1"/>
  <c r="K23" i="5" s="1"/>
  <c r="E19" i="7"/>
  <c r="M19" i="7"/>
  <c r="B19" i="7"/>
  <c r="J19" i="7"/>
  <c r="I19" i="7"/>
  <c r="D19" i="7"/>
  <c r="C19" i="7"/>
  <c r="B26" i="5"/>
  <c r="C26" i="5" s="1"/>
  <c r="D26" i="5" s="1"/>
  <c r="E26" i="5" s="1"/>
  <c r="F26" i="5" s="1"/>
  <c r="G26" i="5" s="1"/>
  <c r="H26" i="5" s="1"/>
  <c r="I26" i="5" s="1"/>
  <c r="J26" i="5" s="1"/>
  <c r="K26" i="5" s="1"/>
  <c r="H19" i="7"/>
  <c r="G19" i="7"/>
  <c r="B27" i="5"/>
  <c r="C27" i="5" s="1"/>
  <c r="D27" i="5" s="1"/>
  <c r="E27" i="5" s="1"/>
  <c r="F27" i="5" s="1"/>
  <c r="G27" i="5" s="1"/>
  <c r="H27" i="5" s="1"/>
  <c r="I27" i="5" s="1"/>
  <c r="J27" i="5" s="1"/>
  <c r="K27" i="5" s="1"/>
  <c r="H8" i="4"/>
  <c r="I8" i="4"/>
  <c r="J8" i="4"/>
  <c r="G8" i="4"/>
  <c r="E8" i="4"/>
  <c r="D8" i="4"/>
  <c r="D26" i="3"/>
  <c r="D25" i="3" s="1"/>
  <c r="C31" i="3"/>
  <c r="F8" i="4"/>
  <c r="C9" i="3"/>
  <c r="C8" i="3" s="1"/>
  <c r="C11" i="2"/>
  <c r="C9" i="4" s="1"/>
  <c r="C8" i="4" s="1"/>
  <c r="B10" i="4"/>
  <c r="B8" i="4" s="1"/>
  <c r="B7" i="13"/>
  <c r="B16" i="4"/>
  <c r="K8" i="4"/>
  <c r="G10" i="3"/>
  <c r="I89" i="3"/>
  <c r="F90" i="3"/>
  <c r="E88" i="3"/>
  <c r="B19" i="5" l="1"/>
  <c r="C19" i="5" s="1"/>
  <c r="D19" i="5" s="1"/>
  <c r="E19" i="5" s="1"/>
  <c r="F19" i="5" s="1"/>
  <c r="G19" i="5" s="1"/>
  <c r="H19" i="5" s="1"/>
  <c r="I19" i="5" s="1"/>
  <c r="J19" i="5" s="1"/>
  <c r="K19" i="5" s="1"/>
  <c r="D9" i="3"/>
  <c r="D8" i="3" s="1"/>
  <c r="E26" i="3"/>
  <c r="E25" i="3" s="1"/>
  <c r="D31" i="3"/>
  <c r="H10" i="3"/>
  <c r="G90" i="3"/>
  <c r="F88" i="3"/>
  <c r="J89" i="3"/>
  <c r="E9" i="3"/>
  <c r="I10" i="3" l="1"/>
  <c r="F26" i="3"/>
  <c r="F25" i="3" s="1"/>
  <c r="E31" i="3"/>
  <c r="K89" i="3"/>
  <c r="H90" i="3"/>
  <c r="G88" i="3"/>
  <c r="F9" i="3"/>
  <c r="E8" i="3"/>
  <c r="J10" i="3" l="1"/>
  <c r="K10" i="3" s="1"/>
  <c r="G26" i="3"/>
  <c r="G25" i="3" s="1"/>
  <c r="F31" i="3"/>
  <c r="I90" i="3"/>
  <c r="H88" i="3"/>
  <c r="G9" i="3"/>
  <c r="F8" i="3"/>
  <c r="H26" i="3" l="1"/>
  <c r="H25" i="3" s="1"/>
  <c r="G31" i="3"/>
  <c r="J90" i="3"/>
  <c r="I88" i="3"/>
  <c r="H9" i="3"/>
  <c r="G8" i="3"/>
  <c r="I26" i="3" l="1"/>
  <c r="I25" i="3" s="1"/>
  <c r="H31" i="3"/>
  <c r="K90" i="3"/>
  <c r="J88" i="3"/>
  <c r="I9" i="3"/>
  <c r="H8" i="3"/>
  <c r="K88" i="3" l="1"/>
  <c r="J26" i="3"/>
  <c r="J25" i="3" s="1"/>
  <c r="I31" i="3"/>
  <c r="J9" i="3"/>
  <c r="I8" i="3"/>
  <c r="K26" i="3" l="1"/>
  <c r="K25" i="3" s="1"/>
  <c r="K31" i="3" s="1"/>
  <c r="J31" i="3"/>
  <c r="K9" i="3"/>
  <c r="K8" i="3" s="1"/>
  <c r="J8" i="3"/>
  <c r="B123" i="1" l="1"/>
  <c r="C122" i="1"/>
  <c r="D13" i="10"/>
  <c r="M11" i="10"/>
  <c r="C9" i="10"/>
  <c r="C3" i="10"/>
  <c r="C5" i="10" s="1"/>
  <c r="L27" i="6"/>
  <c r="M27" i="6"/>
  <c r="C27" i="6"/>
  <c r="D27" i="6"/>
  <c r="E27" i="6"/>
  <c r="F27" i="6"/>
  <c r="G27" i="6"/>
  <c r="H27" i="6"/>
  <c r="I27" i="6"/>
  <c r="J27" i="6"/>
  <c r="K27" i="6"/>
  <c r="B27" i="6"/>
  <c r="C22" i="7" l="1"/>
  <c r="K22" i="7"/>
  <c r="H24" i="7"/>
  <c r="F22" i="7"/>
  <c r="C24" i="7"/>
  <c r="K24" i="7"/>
  <c r="C141" i="1"/>
  <c r="D22" i="7"/>
  <c r="L22" i="7"/>
  <c r="I24" i="7"/>
  <c r="E22" i="7"/>
  <c r="M22" i="7"/>
  <c r="J24" i="7"/>
  <c r="G22" i="7"/>
  <c r="H22" i="7"/>
  <c r="L24" i="7"/>
  <c r="B22" i="7"/>
  <c r="M24" i="7"/>
  <c r="I22" i="7"/>
  <c r="D24" i="7"/>
  <c r="E24" i="7"/>
  <c r="F24" i="7"/>
  <c r="J22" i="7"/>
  <c r="G24" i="7"/>
  <c r="B24" i="7"/>
  <c r="B18" i="2"/>
  <c r="C18" i="2" s="1"/>
  <c r="D18" i="2" s="1"/>
  <c r="E18" i="2" s="1"/>
  <c r="F18" i="2" s="1"/>
  <c r="G18" i="2" s="1"/>
  <c r="H18" i="2" s="1"/>
  <c r="I18" i="2" s="1"/>
  <c r="J18" i="2" s="1"/>
  <c r="K18" i="2" s="1"/>
  <c r="N21" i="9"/>
  <c r="B21" i="9"/>
  <c r="C28" i="6"/>
  <c r="D28" i="6"/>
  <c r="E28" i="6"/>
  <c r="F28" i="6"/>
  <c r="G28" i="6"/>
  <c r="H28" i="6"/>
  <c r="I28" i="6"/>
  <c r="J28" i="6"/>
  <c r="K28" i="6"/>
  <c r="L28" i="6"/>
  <c r="M28" i="6"/>
  <c r="M26" i="6"/>
  <c r="C26" i="6"/>
  <c r="D26" i="6"/>
  <c r="E26" i="6"/>
  <c r="F26" i="6"/>
  <c r="G26" i="6"/>
  <c r="H26" i="6"/>
  <c r="I26" i="6"/>
  <c r="J26" i="6"/>
  <c r="K26" i="6"/>
  <c r="L26" i="6"/>
  <c r="B26" i="6"/>
  <c r="B28" i="6"/>
  <c r="E25" i="7" l="1"/>
  <c r="M25" i="7"/>
  <c r="H25" i="7"/>
  <c r="F25" i="7"/>
  <c r="G25" i="7"/>
  <c r="I25" i="7"/>
  <c r="K25" i="7"/>
  <c r="B25" i="7"/>
  <c r="J25" i="7"/>
  <c r="D25" i="7"/>
  <c r="L25" i="7"/>
  <c r="C25" i="7"/>
  <c r="B24" i="5"/>
  <c r="C24" i="5" s="1"/>
  <c r="D24" i="5" s="1"/>
  <c r="E24" i="5" s="1"/>
  <c r="F24" i="5" s="1"/>
  <c r="G24" i="5" s="1"/>
  <c r="H24" i="5" s="1"/>
  <c r="I24" i="5" s="1"/>
  <c r="J24" i="5" s="1"/>
  <c r="K24" i="5" s="1"/>
  <c r="B22" i="5"/>
  <c r="C22" i="5" s="1"/>
  <c r="D22" i="5" s="1"/>
  <c r="E22" i="5" s="1"/>
  <c r="F22" i="5" s="1"/>
  <c r="G22" i="5" s="1"/>
  <c r="H22" i="5" s="1"/>
  <c r="I22" i="5" s="1"/>
  <c r="J22" i="5" s="1"/>
  <c r="K22" i="5" s="1"/>
  <c r="B19" i="2"/>
  <c r="C19" i="2" s="1"/>
  <c r="D19" i="2" s="1"/>
  <c r="E19" i="2" s="1"/>
  <c r="F19" i="2" s="1"/>
  <c r="G19" i="2" s="1"/>
  <c r="H19" i="2" s="1"/>
  <c r="I19" i="2" s="1"/>
  <c r="J19" i="2" s="1"/>
  <c r="K19" i="2" s="1"/>
  <c r="B17" i="2"/>
  <c r="C17" i="2" s="1"/>
  <c r="D17" i="2" s="1"/>
  <c r="E17" i="2" s="1"/>
  <c r="F17" i="2" s="1"/>
  <c r="G17" i="2" s="1"/>
  <c r="H17" i="2" s="1"/>
  <c r="I17" i="2" s="1"/>
  <c r="J17" i="2" s="1"/>
  <c r="K17" i="2" s="1"/>
  <c r="B22" i="6"/>
  <c r="B13" i="2" s="1"/>
  <c r="C13" i="2" s="1"/>
  <c r="D13" i="2" s="1"/>
  <c r="E13" i="2" s="1"/>
  <c r="F13" i="2" s="1"/>
  <c r="G13" i="2" s="1"/>
  <c r="H13" i="2" s="1"/>
  <c r="I13" i="2" s="1"/>
  <c r="J13" i="2" s="1"/>
  <c r="K13" i="2" s="1"/>
  <c r="B141" i="1"/>
  <c r="C170" i="1"/>
  <c r="B155" i="1"/>
  <c r="C157" i="1" s="1"/>
  <c r="C165" i="1" s="1"/>
  <c r="C180" i="1"/>
  <c r="C176" i="1"/>
  <c r="B21" i="7" s="1"/>
  <c r="B21" i="5" s="1"/>
  <c r="C21" i="5" s="1"/>
  <c r="D21" i="5" s="1"/>
  <c r="E21" i="5" s="1"/>
  <c r="F21" i="5" s="1"/>
  <c r="G21" i="5" s="1"/>
  <c r="H21" i="5" s="1"/>
  <c r="I21" i="5" s="1"/>
  <c r="J21" i="5" s="1"/>
  <c r="K21" i="5" s="1"/>
  <c r="B180" i="1"/>
  <c r="B176" i="1"/>
  <c r="B21" i="6" s="1"/>
  <c r="B12" i="2" s="1"/>
  <c r="C12" i="2" s="1"/>
  <c r="D12" i="2" s="1"/>
  <c r="E12" i="2" s="1"/>
  <c r="F12" i="2" s="1"/>
  <c r="G12" i="2" s="1"/>
  <c r="H12" i="2" s="1"/>
  <c r="I12" i="2" s="1"/>
  <c r="J12" i="2" s="1"/>
  <c r="K12" i="2" s="1"/>
  <c r="B130" i="1"/>
  <c r="J19" i="6" s="1"/>
  <c r="B17" i="9"/>
  <c r="B137" i="1"/>
  <c r="G24" i="6" s="1"/>
  <c r="B14" i="2"/>
  <c r="C14" i="2" s="1"/>
  <c r="D14" i="2" s="1"/>
  <c r="E14" i="2" s="1"/>
  <c r="F14" i="2" s="1"/>
  <c r="G14" i="2" s="1"/>
  <c r="H14" i="2" s="1"/>
  <c r="I14" i="2" s="1"/>
  <c r="J14" i="2" s="1"/>
  <c r="K14" i="2" s="1"/>
  <c r="B25" i="5" l="1"/>
  <c r="C25" i="5" s="1"/>
  <c r="D25" i="5" s="1"/>
  <c r="E25" i="5" s="1"/>
  <c r="F25" i="5" s="1"/>
  <c r="G25" i="5" s="1"/>
  <c r="H25" i="5" s="1"/>
  <c r="I25" i="5" s="1"/>
  <c r="J25" i="5" s="1"/>
  <c r="K25" i="5" s="1"/>
  <c r="I18" i="7"/>
  <c r="D18" i="7"/>
  <c r="L18" i="7"/>
  <c r="J18" i="7"/>
  <c r="K18" i="7"/>
  <c r="K17" i="7" s="1"/>
  <c r="C18" i="7"/>
  <c r="E18" i="7"/>
  <c r="E17" i="7" s="1"/>
  <c r="M18" i="7"/>
  <c r="F18" i="7"/>
  <c r="H18" i="7"/>
  <c r="B18" i="7"/>
  <c r="G18" i="7"/>
  <c r="D28" i="7"/>
  <c r="L28" i="7"/>
  <c r="G28" i="7"/>
  <c r="E28" i="7"/>
  <c r="M28" i="7"/>
  <c r="B28" i="7"/>
  <c r="F28" i="7"/>
  <c r="H28" i="7"/>
  <c r="J28" i="7"/>
  <c r="I28" i="7"/>
  <c r="C28" i="7"/>
  <c r="K28" i="7"/>
  <c r="M25" i="6"/>
  <c r="J25" i="6"/>
  <c r="B25" i="6"/>
  <c r="D25" i="6"/>
  <c r="H25" i="6"/>
  <c r="I25" i="6"/>
  <c r="C25" i="6"/>
  <c r="E25" i="6"/>
  <c r="F25" i="6"/>
  <c r="G25" i="6"/>
  <c r="K25" i="6"/>
  <c r="L25" i="6"/>
  <c r="B157" i="1"/>
  <c r="B165" i="1" s="1"/>
  <c r="F19" i="6"/>
  <c r="M19" i="6"/>
  <c r="D19" i="6"/>
  <c r="I19" i="6"/>
  <c r="H19" i="6"/>
  <c r="G19" i="6"/>
  <c r="B19" i="6"/>
  <c r="E19" i="6"/>
  <c r="L19" i="6"/>
  <c r="K19" i="6"/>
  <c r="C19" i="6"/>
  <c r="D24" i="6"/>
  <c r="F24" i="6"/>
  <c r="B24" i="6"/>
  <c r="E24" i="6"/>
  <c r="M24" i="6"/>
  <c r="L24" i="6"/>
  <c r="C24" i="6"/>
  <c r="K24" i="6"/>
  <c r="J24" i="6"/>
  <c r="I24" i="6"/>
  <c r="H24" i="6"/>
  <c r="B28" i="5" l="1"/>
  <c r="C28" i="5" s="1"/>
  <c r="D28" i="5" s="1"/>
  <c r="E28" i="5" s="1"/>
  <c r="F28" i="5" s="1"/>
  <c r="G28" i="5" s="1"/>
  <c r="H28" i="5" s="1"/>
  <c r="I28" i="5" s="1"/>
  <c r="J28" i="5" s="1"/>
  <c r="K28" i="5" s="1"/>
  <c r="C17" i="7"/>
  <c r="J17" i="7"/>
  <c r="H17" i="7"/>
  <c r="G17" i="7"/>
  <c r="B18" i="5"/>
  <c r="C18" i="5" s="1"/>
  <c r="L17" i="7"/>
  <c r="D17" i="7"/>
  <c r="F17" i="7"/>
  <c r="I17" i="7"/>
  <c r="M17" i="7"/>
  <c r="B16" i="2"/>
  <c r="C16" i="2" s="1"/>
  <c r="D16" i="2" s="1"/>
  <c r="E16" i="2" s="1"/>
  <c r="F16" i="2" s="1"/>
  <c r="G16" i="2" s="1"/>
  <c r="H16" i="2" s="1"/>
  <c r="I16" i="2" s="1"/>
  <c r="J16" i="2" s="1"/>
  <c r="K16" i="2" s="1"/>
  <c r="M18" i="6"/>
  <c r="M17" i="6" s="1"/>
  <c r="J18" i="6"/>
  <c r="J17" i="6" s="1"/>
  <c r="K18" i="6"/>
  <c r="K17" i="6" s="1"/>
  <c r="C18" i="6"/>
  <c r="C17" i="6" s="1"/>
  <c r="L18" i="6"/>
  <c r="L17" i="6" s="1"/>
  <c r="I18" i="6"/>
  <c r="I17" i="6" s="1"/>
  <c r="D18" i="6"/>
  <c r="D17" i="6" s="1"/>
  <c r="B18" i="6"/>
  <c r="E18" i="6"/>
  <c r="E17" i="6" s="1"/>
  <c r="F18" i="6"/>
  <c r="F17" i="6" s="1"/>
  <c r="G18" i="6"/>
  <c r="G17" i="6" s="1"/>
  <c r="H18" i="6"/>
  <c r="H17" i="6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B15" i="2"/>
  <c r="C15" i="2" s="1"/>
  <c r="D15" i="2" s="1"/>
  <c r="E15" i="2" s="1"/>
  <c r="F15" i="2" s="1"/>
  <c r="G15" i="2" s="1"/>
  <c r="H15" i="2" s="1"/>
  <c r="I15" i="2" s="1"/>
  <c r="J15" i="2" s="1"/>
  <c r="K15" i="2" s="1"/>
  <c r="C67" i="1"/>
  <c r="N15" i="9"/>
  <c r="D18" i="5" l="1"/>
  <c r="C17" i="5"/>
  <c r="E3" i="14" s="1"/>
  <c r="B17" i="6"/>
  <c r="B9" i="2"/>
  <c r="C9" i="2" s="1"/>
  <c r="C44" i="9"/>
  <c r="D44" i="9"/>
  <c r="E44" i="9"/>
  <c r="F44" i="9"/>
  <c r="G44" i="9"/>
  <c r="H44" i="9"/>
  <c r="I44" i="9"/>
  <c r="J44" i="9"/>
  <c r="K44" i="9"/>
  <c r="L44" i="9"/>
  <c r="M44" i="9"/>
  <c r="B44" i="9"/>
  <c r="C28" i="9"/>
  <c r="D28" i="9"/>
  <c r="E28" i="9"/>
  <c r="F28" i="9"/>
  <c r="G28" i="9"/>
  <c r="H28" i="9"/>
  <c r="I28" i="9"/>
  <c r="J28" i="9"/>
  <c r="K28" i="9"/>
  <c r="L28" i="9"/>
  <c r="M28" i="9"/>
  <c r="B28" i="9"/>
  <c r="C27" i="9"/>
  <c r="D27" i="9"/>
  <c r="E27" i="9"/>
  <c r="F27" i="9"/>
  <c r="G27" i="9"/>
  <c r="H27" i="9"/>
  <c r="I27" i="9"/>
  <c r="J27" i="9"/>
  <c r="K27" i="9"/>
  <c r="L27" i="9"/>
  <c r="M27" i="9"/>
  <c r="B27" i="9"/>
  <c r="L26" i="9"/>
  <c r="M26" i="9"/>
  <c r="C26" i="9"/>
  <c r="D26" i="9"/>
  <c r="E26" i="9"/>
  <c r="F26" i="9"/>
  <c r="G26" i="9"/>
  <c r="H26" i="9"/>
  <c r="I26" i="9"/>
  <c r="J26" i="9"/>
  <c r="K26" i="9"/>
  <c r="B26" i="9"/>
  <c r="B30" i="9" s="1"/>
  <c r="C19" i="9"/>
  <c r="D19" i="9"/>
  <c r="E19" i="9"/>
  <c r="F19" i="9"/>
  <c r="G19" i="9"/>
  <c r="H19" i="9"/>
  <c r="I19" i="9"/>
  <c r="J19" i="9"/>
  <c r="K19" i="9"/>
  <c r="L19" i="9"/>
  <c r="M19" i="9"/>
  <c r="B19" i="9"/>
  <c r="C18" i="9"/>
  <c r="D18" i="9"/>
  <c r="E18" i="9"/>
  <c r="F18" i="9"/>
  <c r="G18" i="9"/>
  <c r="H18" i="9"/>
  <c r="I18" i="9"/>
  <c r="J18" i="9"/>
  <c r="K18" i="9"/>
  <c r="K21" i="9" s="1"/>
  <c r="L18" i="9"/>
  <c r="M18" i="9"/>
  <c r="B18" i="9"/>
  <c r="K17" i="9"/>
  <c r="L17" i="9"/>
  <c r="M17" i="9"/>
  <c r="C17" i="9"/>
  <c r="C21" i="9" s="1"/>
  <c r="D17" i="9"/>
  <c r="E17" i="9"/>
  <c r="F17" i="9"/>
  <c r="G17" i="9"/>
  <c r="H17" i="9"/>
  <c r="I17" i="9"/>
  <c r="J17" i="9"/>
  <c r="B17" i="7"/>
  <c r="B17" i="5"/>
  <c r="D3" i="14" s="1"/>
  <c r="E18" i="5" l="1"/>
  <c r="D17" i="5"/>
  <c r="F3" i="14" s="1"/>
  <c r="F30" i="9"/>
  <c r="I30" i="9"/>
  <c r="B8" i="2"/>
  <c r="D3" i="10" s="1"/>
  <c r="D9" i="2"/>
  <c r="C8" i="2"/>
  <c r="E3" i="10" s="1"/>
  <c r="K30" i="9"/>
  <c r="J30" i="9"/>
  <c r="M21" i="9"/>
  <c r="D21" i="9"/>
  <c r="L30" i="9"/>
  <c r="L21" i="9"/>
  <c r="G21" i="9"/>
  <c r="E30" i="9"/>
  <c r="J21" i="9"/>
  <c r="I21" i="9"/>
  <c r="H21" i="9"/>
  <c r="F21" i="9"/>
  <c r="H30" i="9"/>
  <c r="D30" i="9"/>
  <c r="E21" i="9"/>
  <c r="G30" i="9"/>
  <c r="M30" i="9"/>
  <c r="C30" i="9"/>
  <c r="N30" i="9" s="1"/>
  <c r="B107" i="1"/>
  <c r="L107" i="9" s="1"/>
  <c r="B104" i="1"/>
  <c r="C74" i="9" s="1"/>
  <c r="B101" i="1"/>
  <c r="E123" i="9" s="1"/>
  <c r="B85" i="1"/>
  <c r="B77" i="1"/>
  <c r="C66" i="1"/>
  <c r="B69" i="1" s="1"/>
  <c r="B57" i="1"/>
  <c r="B49" i="1"/>
  <c r="B40" i="1"/>
  <c r="B32" i="1"/>
  <c r="B24" i="1"/>
  <c r="E17" i="5" l="1"/>
  <c r="G3" i="14" s="1"/>
  <c r="F18" i="5"/>
  <c r="E9" i="2"/>
  <c r="D8" i="2"/>
  <c r="F3" i="10" s="1"/>
  <c r="L91" i="9"/>
  <c r="L105" i="9"/>
  <c r="H141" i="9"/>
  <c r="J79" i="9"/>
  <c r="F49" i="9"/>
  <c r="E73" i="9"/>
  <c r="G117" i="9"/>
  <c r="E112" i="9"/>
  <c r="I130" i="9"/>
  <c r="L130" i="9"/>
  <c r="G136" i="9"/>
  <c r="J74" i="9"/>
  <c r="H118" i="9"/>
  <c r="B148" i="9"/>
  <c r="I124" i="9"/>
  <c r="C141" i="9"/>
  <c r="J68" i="9"/>
  <c r="J123" i="9"/>
  <c r="G129" i="9"/>
  <c r="B93" i="9"/>
  <c r="B13" i="6" s="1"/>
  <c r="M86" i="9"/>
  <c r="B68" i="9"/>
  <c r="B73" i="9"/>
  <c r="F117" i="9"/>
  <c r="F105" i="9"/>
  <c r="H56" i="9"/>
  <c r="H153" i="9"/>
  <c r="F155" i="9"/>
  <c r="B123" i="9"/>
  <c r="B56" i="9"/>
  <c r="K80" i="9"/>
  <c r="B105" i="9"/>
  <c r="E86" i="9"/>
  <c r="K92" i="9"/>
  <c r="I50" i="9"/>
  <c r="L136" i="9"/>
  <c r="B117" i="9"/>
  <c r="D113" i="9"/>
  <c r="K69" i="9"/>
  <c r="D131" i="9"/>
  <c r="D149" i="9"/>
  <c r="H149" i="9"/>
  <c r="K155" i="9"/>
  <c r="H130" i="9"/>
  <c r="K81" i="9"/>
  <c r="I155" i="9"/>
  <c r="F74" i="9"/>
  <c r="B136" i="9"/>
  <c r="K93" i="9"/>
  <c r="K13" i="6" s="1"/>
  <c r="I98" i="9"/>
  <c r="L99" i="9"/>
  <c r="I142" i="9"/>
  <c r="K98" i="9"/>
  <c r="H86" i="9"/>
  <c r="F57" i="9"/>
  <c r="F125" i="9"/>
  <c r="M155" i="9"/>
  <c r="H51" i="9"/>
  <c r="C148" i="9"/>
  <c r="H125" i="9"/>
  <c r="E80" i="9"/>
  <c r="L55" i="9"/>
  <c r="K107" i="9"/>
  <c r="L113" i="9"/>
  <c r="D75" i="9"/>
  <c r="I119" i="9"/>
  <c r="K75" i="9"/>
  <c r="M81" i="9"/>
  <c r="L75" i="9"/>
  <c r="B137" i="9"/>
  <c r="M119" i="9"/>
  <c r="H57" i="9"/>
  <c r="E50" i="9"/>
  <c r="K125" i="9"/>
  <c r="B155" i="9"/>
  <c r="J149" i="9"/>
  <c r="G75" i="9"/>
  <c r="E125" i="9"/>
  <c r="E119" i="9"/>
  <c r="G113" i="9"/>
  <c r="H81" i="9"/>
  <c r="G107" i="9"/>
  <c r="I69" i="9"/>
  <c r="M93" i="9"/>
  <c r="M13" i="6" s="1"/>
  <c r="C131" i="9"/>
  <c r="C57" i="9"/>
  <c r="I137" i="9"/>
  <c r="H98" i="9"/>
  <c r="J143" i="9"/>
  <c r="G62" i="9"/>
  <c r="F75" i="9"/>
  <c r="E51" i="9"/>
  <c r="B69" i="9"/>
  <c r="E149" i="9"/>
  <c r="G155" i="9"/>
  <c r="G57" i="9"/>
  <c r="H99" i="9"/>
  <c r="G87" i="9"/>
  <c r="B99" i="9"/>
  <c r="L148" i="9"/>
  <c r="M56" i="9"/>
  <c r="M63" i="9"/>
  <c r="G143" i="9"/>
  <c r="J155" i="9"/>
  <c r="G74" i="9"/>
  <c r="E57" i="9"/>
  <c r="G137" i="9"/>
  <c r="G81" i="9"/>
  <c r="J136" i="9"/>
  <c r="L80" i="9"/>
  <c r="F135" i="9"/>
  <c r="D69" i="9"/>
  <c r="M131" i="9"/>
  <c r="C125" i="9"/>
  <c r="K143" i="9"/>
  <c r="H154" i="9"/>
  <c r="K154" i="9"/>
  <c r="M55" i="9"/>
  <c r="E130" i="9"/>
  <c r="J63" i="9"/>
  <c r="L81" i="9"/>
  <c r="F154" i="9"/>
  <c r="G86" i="9"/>
  <c r="I111" i="9"/>
  <c r="M91" i="9"/>
  <c r="F137" i="9"/>
  <c r="H68" i="9"/>
  <c r="B81" i="9"/>
  <c r="I85" i="9"/>
  <c r="E113" i="9"/>
  <c r="G119" i="9"/>
  <c r="K118" i="9"/>
  <c r="J106" i="9"/>
  <c r="D74" i="9"/>
  <c r="H113" i="9"/>
  <c r="D87" i="9"/>
  <c r="M107" i="9"/>
  <c r="G106" i="9"/>
  <c r="I107" i="9"/>
  <c r="E131" i="9"/>
  <c r="M147" i="9"/>
  <c r="M117" i="9"/>
  <c r="G105" i="9"/>
  <c r="E148" i="9"/>
  <c r="J75" i="9"/>
  <c r="H63" i="9"/>
  <c r="F106" i="9"/>
  <c r="C63" i="9"/>
  <c r="I105" i="9"/>
  <c r="B79" i="9"/>
  <c r="F113" i="9"/>
  <c r="H80" i="9"/>
  <c r="C50" i="9"/>
  <c r="I67" i="9"/>
  <c r="K141" i="9"/>
  <c r="F143" i="9"/>
  <c r="K106" i="9"/>
  <c r="J142" i="9"/>
  <c r="I141" i="9"/>
  <c r="H155" i="9"/>
  <c r="D93" i="9"/>
  <c r="D13" i="6" s="1"/>
  <c r="F63" i="9"/>
  <c r="B125" i="9"/>
  <c r="C107" i="9"/>
  <c r="D125" i="9"/>
  <c r="B111" i="9"/>
  <c r="M154" i="9"/>
  <c r="J87" i="9"/>
  <c r="G50" i="9"/>
  <c r="B106" i="9"/>
  <c r="C87" i="9"/>
  <c r="H79" i="9"/>
  <c r="L63" i="9"/>
  <c r="I106" i="9"/>
  <c r="F119" i="9"/>
  <c r="H74" i="9"/>
  <c r="J112" i="9"/>
  <c r="I61" i="9"/>
  <c r="C118" i="9"/>
  <c r="D153" i="9"/>
  <c r="K142" i="9"/>
  <c r="C142" i="9"/>
  <c r="G149" i="9"/>
  <c r="H119" i="9"/>
  <c r="I75" i="9"/>
  <c r="D99" i="9"/>
  <c r="F69" i="9"/>
  <c r="E143" i="9"/>
  <c r="M123" i="9"/>
  <c r="K91" i="9"/>
  <c r="E91" i="9"/>
  <c r="K123" i="9"/>
  <c r="F129" i="9"/>
  <c r="M92" i="9"/>
  <c r="D97" i="9"/>
  <c r="J80" i="9"/>
  <c r="J117" i="9"/>
  <c r="E142" i="9"/>
  <c r="G141" i="9"/>
  <c r="B98" i="9"/>
  <c r="H105" i="9"/>
  <c r="H73" i="9"/>
  <c r="D129" i="9"/>
  <c r="K129" i="9"/>
  <c r="C86" i="9"/>
  <c r="K111" i="9"/>
  <c r="C124" i="9"/>
  <c r="E117" i="9"/>
  <c r="E67" i="9"/>
  <c r="D112" i="9"/>
  <c r="D79" i="9"/>
  <c r="G79" i="9"/>
  <c r="L67" i="9"/>
  <c r="M105" i="9"/>
  <c r="E61" i="9"/>
  <c r="B49" i="9"/>
  <c r="D111" i="9"/>
  <c r="F61" i="9"/>
  <c r="C129" i="9"/>
  <c r="C62" i="9"/>
  <c r="I74" i="9"/>
  <c r="C79" i="9"/>
  <c r="C136" i="9"/>
  <c r="D136" i="9"/>
  <c r="L62" i="9"/>
  <c r="G85" i="9"/>
  <c r="J129" i="9"/>
  <c r="J111" i="9"/>
  <c r="L153" i="9"/>
  <c r="M111" i="9"/>
  <c r="M153" i="9"/>
  <c r="F91" i="9"/>
  <c r="G61" i="9"/>
  <c r="G123" i="9"/>
  <c r="F141" i="9"/>
  <c r="G97" i="9"/>
  <c r="G91" i="9"/>
  <c r="K79" i="9"/>
  <c r="L61" i="9"/>
  <c r="I49" i="9"/>
  <c r="H123" i="9"/>
  <c r="H97" i="9"/>
  <c r="C67" i="9"/>
  <c r="M61" i="9"/>
  <c r="F55" i="9"/>
  <c r="J49" i="9"/>
  <c r="K73" i="9"/>
  <c r="M135" i="9"/>
  <c r="K97" i="9"/>
  <c r="I73" i="9"/>
  <c r="D67" i="9"/>
  <c r="G55" i="9"/>
  <c r="K49" i="9"/>
  <c r="J147" i="9"/>
  <c r="F85" i="9"/>
  <c r="J73" i="9"/>
  <c r="G49" i="9"/>
  <c r="H49" i="9"/>
  <c r="H55" i="9"/>
  <c r="J105" i="9"/>
  <c r="D135" i="9"/>
  <c r="D55" i="9"/>
  <c r="B147" i="9"/>
  <c r="J85" i="9"/>
  <c r="L79" i="9"/>
  <c r="F79" i="9"/>
  <c r="F153" i="9"/>
  <c r="E147" i="9"/>
  <c r="I123" i="9"/>
  <c r="C91" i="9"/>
  <c r="K117" i="9"/>
  <c r="C111" i="9"/>
  <c r="L111" i="9"/>
  <c r="E85" i="9"/>
  <c r="D123" i="9"/>
  <c r="M97" i="9"/>
  <c r="I117" i="9"/>
  <c r="K85" i="9"/>
  <c r="H117" i="9"/>
  <c r="B55" i="9"/>
  <c r="C61" i="9"/>
  <c r="G153" i="9"/>
  <c r="J135" i="9"/>
  <c r="D73" i="9"/>
  <c r="E55" i="9"/>
  <c r="M141" i="9"/>
  <c r="C85" i="9"/>
  <c r="D49" i="9"/>
  <c r="J55" i="9"/>
  <c r="L49" i="9"/>
  <c r="F97" i="9"/>
  <c r="F111" i="9"/>
  <c r="E135" i="9"/>
  <c r="C153" i="9"/>
  <c r="C55" i="9"/>
  <c r="K135" i="9"/>
  <c r="I97" i="9"/>
  <c r="C147" i="9"/>
  <c r="L123" i="9"/>
  <c r="E79" i="9"/>
  <c r="D141" i="9"/>
  <c r="B97" i="9"/>
  <c r="M79" i="9"/>
  <c r="I135" i="9"/>
  <c r="M67" i="9"/>
  <c r="K55" i="9"/>
  <c r="H135" i="9"/>
  <c r="G67" i="9"/>
  <c r="E49" i="9"/>
  <c r="D85" i="9"/>
  <c r="B153" i="9"/>
  <c r="J61" i="9"/>
  <c r="F67" i="9"/>
  <c r="F147" i="9"/>
  <c r="J91" i="9"/>
  <c r="E153" i="9"/>
  <c r="E141" i="9"/>
  <c r="C49" i="9"/>
  <c r="K153" i="9"/>
  <c r="I91" i="9"/>
  <c r="C123" i="9"/>
  <c r="L141" i="9"/>
  <c r="E97" i="9"/>
  <c r="D105" i="9"/>
  <c r="B85" i="9"/>
  <c r="M49" i="9"/>
  <c r="I129" i="9"/>
  <c r="H91" i="9"/>
  <c r="K61" i="9"/>
  <c r="I79" i="9"/>
  <c r="G73" i="9"/>
  <c r="G111" i="9"/>
  <c r="K67" i="9"/>
  <c r="K147" i="9"/>
  <c r="I147" i="9"/>
  <c r="H85" i="9"/>
  <c r="B141" i="9"/>
  <c r="J67" i="9"/>
  <c r="L85" i="9"/>
  <c r="C135" i="9"/>
  <c r="L129" i="9"/>
  <c r="D61" i="9"/>
  <c r="B129" i="9"/>
  <c r="L73" i="9"/>
  <c r="M73" i="9"/>
  <c r="D91" i="9"/>
  <c r="B135" i="9"/>
  <c r="J97" i="9"/>
  <c r="L97" i="9"/>
  <c r="F73" i="9"/>
  <c r="F123" i="9"/>
  <c r="E129" i="9"/>
  <c r="E105" i="9"/>
  <c r="C97" i="9"/>
  <c r="K105" i="9"/>
  <c r="C73" i="9"/>
  <c r="L117" i="9"/>
  <c r="C117" i="9"/>
  <c r="D147" i="9"/>
  <c r="M85" i="9"/>
  <c r="I153" i="9"/>
  <c r="H61" i="9"/>
  <c r="H147" i="9"/>
  <c r="G135" i="9"/>
  <c r="B91" i="9"/>
  <c r="J153" i="9"/>
  <c r="M129" i="9"/>
  <c r="G147" i="9"/>
  <c r="E111" i="9"/>
  <c r="M118" i="9"/>
  <c r="B124" i="9"/>
  <c r="H92" i="9"/>
  <c r="F62" i="9"/>
  <c r="B62" i="9"/>
  <c r="M130" i="9"/>
  <c r="I92" i="9"/>
  <c r="F68" i="9"/>
  <c r="H62" i="9"/>
  <c r="I80" i="9"/>
  <c r="G68" i="9"/>
  <c r="B50" i="9"/>
  <c r="M68" i="9"/>
  <c r="G92" i="9"/>
  <c r="B74" i="9"/>
  <c r="G142" i="9"/>
  <c r="H148" i="9"/>
  <c r="G124" i="9"/>
  <c r="H142" i="9"/>
  <c r="E106" i="9"/>
  <c r="F86" i="9"/>
  <c r="B86" i="9"/>
  <c r="E118" i="9"/>
  <c r="H124" i="9"/>
  <c r="E136" i="9"/>
  <c r="H106" i="9"/>
  <c r="M136" i="9"/>
  <c r="B142" i="9"/>
  <c r="E62" i="9"/>
  <c r="J148" i="9"/>
  <c r="I62" i="9"/>
  <c r="L68" i="9"/>
  <c r="M50" i="9"/>
  <c r="L106" i="9"/>
  <c r="L108" i="9" s="1"/>
  <c r="L6" i="7" s="1"/>
  <c r="D154" i="9"/>
  <c r="M80" i="9"/>
  <c r="D92" i="9"/>
  <c r="C112" i="9"/>
  <c r="K130" i="9"/>
  <c r="J86" i="9"/>
  <c r="D118" i="9"/>
  <c r="J98" i="9"/>
  <c r="D80" i="9"/>
  <c r="C92" i="9"/>
  <c r="K86" i="9"/>
  <c r="I112" i="9"/>
  <c r="G56" i="9"/>
  <c r="B130" i="9"/>
  <c r="F112" i="9"/>
  <c r="L74" i="9"/>
  <c r="L154" i="9"/>
  <c r="F56" i="9"/>
  <c r="M106" i="9"/>
  <c r="D86" i="9"/>
  <c r="G148" i="9"/>
  <c r="G118" i="9"/>
  <c r="I56" i="9"/>
  <c r="F98" i="9"/>
  <c r="H136" i="9"/>
  <c r="G154" i="9"/>
  <c r="L142" i="9"/>
  <c r="D148" i="9"/>
  <c r="L56" i="9"/>
  <c r="K56" i="9"/>
  <c r="E98" i="9"/>
  <c r="L118" i="9"/>
  <c r="D50" i="9"/>
  <c r="J124" i="9"/>
  <c r="I148" i="9"/>
  <c r="K136" i="9"/>
  <c r="J62" i="9"/>
  <c r="L112" i="9"/>
  <c r="C80" i="9"/>
  <c r="K62" i="9"/>
  <c r="I136" i="9"/>
  <c r="G98" i="9"/>
  <c r="B112" i="9"/>
  <c r="F148" i="9"/>
  <c r="M112" i="9"/>
  <c r="E92" i="9"/>
  <c r="H112" i="9"/>
  <c r="F124" i="9"/>
  <c r="E56" i="9"/>
  <c r="D142" i="9"/>
  <c r="D62" i="9"/>
  <c r="C130" i="9"/>
  <c r="J118" i="9"/>
  <c r="K124" i="9"/>
  <c r="J50" i="9"/>
  <c r="I68" i="9"/>
  <c r="C68" i="9"/>
  <c r="K50" i="9"/>
  <c r="I154" i="9"/>
  <c r="M74" i="9"/>
  <c r="B154" i="9"/>
  <c r="F118" i="9"/>
  <c r="F92" i="9"/>
  <c r="E154" i="9"/>
  <c r="F50" i="9"/>
  <c r="G130" i="9"/>
  <c r="M98" i="9"/>
  <c r="L98" i="9"/>
  <c r="C154" i="9"/>
  <c r="L92" i="9"/>
  <c r="L50" i="9"/>
  <c r="M62" i="9"/>
  <c r="L124" i="9"/>
  <c r="D124" i="9"/>
  <c r="E74" i="9"/>
  <c r="D98" i="9"/>
  <c r="C106" i="9"/>
  <c r="J92" i="9"/>
  <c r="J130" i="9"/>
  <c r="K68" i="9"/>
  <c r="I118" i="9"/>
  <c r="I86" i="9"/>
  <c r="G80" i="9"/>
  <c r="B118" i="9"/>
  <c r="F130" i="9"/>
  <c r="E68" i="9"/>
  <c r="D106" i="9"/>
  <c r="F80" i="9"/>
  <c r="M124" i="9"/>
  <c r="E124" i="9"/>
  <c r="F142" i="9"/>
  <c r="J141" i="9"/>
  <c r="K74" i="9"/>
  <c r="M148" i="9"/>
  <c r="B80" i="9"/>
  <c r="H111" i="9"/>
  <c r="J56" i="9"/>
  <c r="G112" i="9"/>
  <c r="D68" i="9"/>
  <c r="M142" i="9"/>
  <c r="B92" i="9"/>
  <c r="B67" i="9"/>
  <c r="F136" i="9"/>
  <c r="H129" i="9"/>
  <c r="H67" i="9"/>
  <c r="H50" i="9"/>
  <c r="B61" i="9"/>
  <c r="D117" i="9"/>
  <c r="L147" i="9"/>
  <c r="C105" i="9"/>
  <c r="C98" i="9"/>
  <c r="I55" i="9"/>
  <c r="K112" i="9"/>
  <c r="L135" i="9"/>
  <c r="K148" i="9"/>
  <c r="J154" i="9"/>
  <c r="D56" i="9"/>
  <c r="C56" i="9"/>
  <c r="D130" i="9"/>
  <c r="L86" i="9"/>
  <c r="J81" i="9"/>
  <c r="C51" i="9"/>
  <c r="J107" i="9"/>
  <c r="C99" i="9"/>
  <c r="B107" i="9"/>
  <c r="B87" i="9"/>
  <c r="F131" i="9"/>
  <c r="E63" i="9"/>
  <c r="B51" i="9"/>
  <c r="B149" i="9"/>
  <c r="H69" i="9"/>
  <c r="E137" i="9"/>
  <c r="G131" i="9"/>
  <c r="H75" i="9"/>
  <c r="F87" i="9"/>
  <c r="H143" i="9"/>
  <c r="I81" i="9"/>
  <c r="M87" i="9"/>
  <c r="F99" i="9"/>
  <c r="K119" i="9"/>
  <c r="G69" i="9"/>
  <c r="M99" i="9"/>
  <c r="M143" i="9"/>
  <c r="F81" i="9"/>
  <c r="D107" i="9"/>
  <c r="M125" i="9"/>
  <c r="F93" i="9"/>
  <c r="F13" i="6" s="1"/>
  <c r="C119" i="9"/>
  <c r="C137" i="9"/>
  <c r="K149" i="9"/>
  <c r="C81" i="9"/>
  <c r="E69" i="9"/>
  <c r="K51" i="9"/>
  <c r="D119" i="9"/>
  <c r="D137" i="9"/>
  <c r="I99" i="9"/>
  <c r="D81" i="9"/>
  <c r="K57" i="9"/>
  <c r="L51" i="9"/>
  <c r="L119" i="9"/>
  <c r="J131" i="9"/>
  <c r="L137" i="9"/>
  <c r="J99" i="9"/>
  <c r="L57" i="9"/>
  <c r="I113" i="9"/>
  <c r="K131" i="9"/>
  <c r="D155" i="9"/>
  <c r="M57" i="9"/>
  <c r="I125" i="9"/>
  <c r="J113" i="9"/>
  <c r="L131" i="9"/>
  <c r="L155" i="9"/>
  <c r="E87" i="9"/>
  <c r="M75" i="9"/>
  <c r="J51" i="9"/>
  <c r="K113" i="9"/>
  <c r="J93" i="9"/>
  <c r="J13" i="6" s="1"/>
  <c r="K63" i="9"/>
  <c r="B75" i="9"/>
  <c r="L125" i="9"/>
  <c r="K137" i="9"/>
  <c r="L149" i="9"/>
  <c r="K99" i="9"/>
  <c r="I131" i="9"/>
  <c r="D57" i="9"/>
  <c r="J125" i="9"/>
  <c r="C75" i="9"/>
  <c r="K87" i="9"/>
  <c r="L69" i="9"/>
  <c r="B57" i="9"/>
  <c r="B113" i="9"/>
  <c r="M137" i="9"/>
  <c r="G125" i="9"/>
  <c r="G51" i="9"/>
  <c r="M51" i="9"/>
  <c r="H137" i="9"/>
  <c r="I87" i="9"/>
  <c r="D63" i="9"/>
  <c r="M149" i="9"/>
  <c r="B63" i="9"/>
  <c r="H93" i="9"/>
  <c r="H13" i="6" s="1"/>
  <c r="C113" i="9"/>
  <c r="J69" i="9"/>
  <c r="E75" i="9"/>
  <c r="J137" i="9"/>
  <c r="C69" i="9"/>
  <c r="L87" i="9"/>
  <c r="E93" i="9"/>
  <c r="E13" i="6" s="1"/>
  <c r="B131" i="9"/>
  <c r="D51" i="9"/>
  <c r="E107" i="9"/>
  <c r="G93" i="9"/>
  <c r="G13" i="6" s="1"/>
  <c r="H87" i="9"/>
  <c r="H131" i="9"/>
  <c r="I51" i="9"/>
  <c r="M113" i="9"/>
  <c r="E81" i="9"/>
  <c r="C149" i="9"/>
  <c r="D143" i="9"/>
  <c r="I93" i="9"/>
  <c r="I13" i="6" s="1"/>
  <c r="G63" i="9"/>
  <c r="I149" i="9"/>
  <c r="C155" i="9"/>
  <c r="L143" i="9"/>
  <c r="C143" i="9"/>
  <c r="I143" i="9"/>
  <c r="J57" i="9"/>
  <c r="J119" i="9"/>
  <c r="C93" i="9"/>
  <c r="C13" i="6" s="1"/>
  <c r="B143" i="9"/>
  <c r="I63" i="9"/>
  <c r="L93" i="9"/>
  <c r="L13" i="6" s="1"/>
  <c r="F149" i="9"/>
  <c r="E99" i="9"/>
  <c r="B119" i="9"/>
  <c r="E155" i="9"/>
  <c r="G99" i="9"/>
  <c r="F107" i="9"/>
  <c r="H107" i="9"/>
  <c r="I57" i="9"/>
  <c r="M69" i="9"/>
  <c r="F51" i="9"/>
  <c r="F17" i="5" l="1"/>
  <c r="H3" i="14" s="1"/>
  <c r="G18" i="5"/>
  <c r="F9" i="2"/>
  <c r="E8" i="2"/>
  <c r="G3" i="10" s="1"/>
  <c r="D150" i="9"/>
  <c r="D13" i="7" s="1"/>
  <c r="J76" i="9"/>
  <c r="J10" i="6" s="1"/>
  <c r="F156" i="9"/>
  <c r="E126" i="9"/>
  <c r="E9" i="7" s="1"/>
  <c r="H132" i="9"/>
  <c r="H10" i="7" s="1"/>
  <c r="D88" i="9"/>
  <c r="D12" i="6" s="1"/>
  <c r="K132" i="9"/>
  <c r="K10" i="7" s="1"/>
  <c r="H58" i="9"/>
  <c r="H7" i="6" s="1"/>
  <c r="H82" i="9"/>
  <c r="H11" i="6" s="1"/>
  <c r="C114" i="9"/>
  <c r="C7" i="7" s="1"/>
  <c r="K120" i="9"/>
  <c r="K8" i="7" s="1"/>
  <c r="I132" i="9"/>
  <c r="I10" i="7" s="1"/>
  <c r="F126" i="9"/>
  <c r="F9" i="7" s="1"/>
  <c r="D132" i="9"/>
  <c r="D10" i="7" s="1"/>
  <c r="I138" i="9"/>
  <c r="I11" i="7" s="1"/>
  <c r="D58" i="9"/>
  <c r="D7" i="6" s="1"/>
  <c r="J88" i="9"/>
  <c r="J12" i="6" s="1"/>
  <c r="H114" i="9"/>
  <c r="H7" i="7" s="1"/>
  <c r="B138" i="9"/>
  <c r="B11" i="7" s="1"/>
  <c r="F138" i="9"/>
  <c r="F11" i="7" s="1"/>
  <c r="M120" i="9"/>
  <c r="M8" i="7" s="1"/>
  <c r="F64" i="9"/>
  <c r="F8" i="6" s="1"/>
  <c r="B82" i="9"/>
  <c r="B11" i="6" s="1"/>
  <c r="F120" i="9"/>
  <c r="F8" i="7" s="1"/>
  <c r="G150" i="9"/>
  <c r="G13" i="7" s="1"/>
  <c r="M58" i="9"/>
  <c r="M7" i="6" s="1"/>
  <c r="K108" i="9"/>
  <c r="K6" i="7" s="1"/>
  <c r="C132" i="9"/>
  <c r="C10" i="7" s="1"/>
  <c r="F108" i="9"/>
  <c r="F6" i="7" s="1"/>
  <c r="H76" i="9"/>
  <c r="H10" i="6" s="1"/>
  <c r="G76" i="9"/>
  <c r="G10" i="6" s="1"/>
  <c r="B126" i="9"/>
  <c r="B9" i="7" s="1"/>
  <c r="L76" i="9"/>
  <c r="L10" i="6" s="1"/>
  <c r="F150" i="9"/>
  <c r="F13" i="7" s="1"/>
  <c r="C144" i="9"/>
  <c r="C12" i="7" s="1"/>
  <c r="I126" i="9"/>
  <c r="I9" i="7" s="1"/>
  <c r="J82" i="9"/>
  <c r="J11" i="6" s="1"/>
  <c r="E58" i="9"/>
  <c r="E7" i="6" s="1"/>
  <c r="L156" i="9"/>
  <c r="D156" i="9"/>
  <c r="G138" i="9"/>
  <c r="G11" i="7" s="1"/>
  <c r="F114" i="9"/>
  <c r="F7" i="7" s="1"/>
  <c r="D76" i="9"/>
  <c r="D10" i="6" s="1"/>
  <c r="E150" i="9"/>
  <c r="E13" i="7" s="1"/>
  <c r="H120" i="9"/>
  <c r="H8" i="7" s="1"/>
  <c r="I156" i="9"/>
  <c r="J156" i="9"/>
  <c r="I144" i="9"/>
  <c r="I12" i="7" s="1"/>
  <c r="M88" i="9"/>
  <c r="M12" i="6" s="1"/>
  <c r="L100" i="9"/>
  <c r="E52" i="9"/>
  <c r="E6" i="6" s="1"/>
  <c r="D114" i="9"/>
  <c r="D7" i="7" s="1"/>
  <c r="C64" i="9"/>
  <c r="C8" i="6" s="1"/>
  <c r="G132" i="9"/>
  <c r="G10" i="7" s="1"/>
  <c r="E76" i="9"/>
  <c r="E10" i="6" s="1"/>
  <c r="C156" i="9"/>
  <c r="C52" i="9"/>
  <c r="C6" i="6" s="1"/>
  <c r="J126" i="9"/>
  <c r="J9" i="7" s="1"/>
  <c r="G156" i="9"/>
  <c r="B52" i="9"/>
  <c r="E144" i="9"/>
  <c r="E12" i="7" s="1"/>
  <c r="I76" i="9"/>
  <c r="I10" i="6" s="1"/>
  <c r="L70" i="9"/>
  <c r="L9" i="6" s="1"/>
  <c r="C108" i="9"/>
  <c r="C6" i="7" s="1"/>
  <c r="I114" i="9"/>
  <c r="I7" i="7" s="1"/>
  <c r="L150" i="9"/>
  <c r="L13" i="7" s="1"/>
  <c r="J138" i="9"/>
  <c r="J11" i="7" s="1"/>
  <c r="H52" i="9"/>
  <c r="H6" i="6" s="1"/>
  <c r="G88" i="9"/>
  <c r="G12" i="6" s="1"/>
  <c r="D82" i="9"/>
  <c r="D11" i="6" s="1"/>
  <c r="B156" i="9"/>
  <c r="H156" i="9"/>
  <c r="E88" i="9"/>
  <c r="E12" i="6" s="1"/>
  <c r="K144" i="9"/>
  <c r="K12" i="7" s="1"/>
  <c r="B120" i="9"/>
  <c r="B8" i="7" s="1"/>
  <c r="C120" i="9"/>
  <c r="C8" i="7" s="1"/>
  <c r="F76" i="9"/>
  <c r="F10" i="6" s="1"/>
  <c r="K88" i="9"/>
  <c r="K12" i="6" s="1"/>
  <c r="K82" i="9"/>
  <c r="K11" i="6" s="1"/>
  <c r="C82" i="9"/>
  <c r="C11" i="6" s="1"/>
  <c r="L120" i="9"/>
  <c r="L8" i="7" s="1"/>
  <c r="D144" i="9"/>
  <c r="D12" i="7" s="1"/>
  <c r="E156" i="9"/>
  <c r="L126" i="9"/>
  <c r="L9" i="7" s="1"/>
  <c r="K156" i="9"/>
  <c r="B70" i="9"/>
  <c r="B9" i="6" s="1"/>
  <c r="H126" i="9"/>
  <c r="H9" i="7" s="1"/>
  <c r="D100" i="9"/>
  <c r="B108" i="9"/>
  <c r="B6" i="7" s="1"/>
  <c r="I70" i="9"/>
  <c r="I9" i="6" s="1"/>
  <c r="I108" i="9"/>
  <c r="I6" i="7" s="1"/>
  <c r="I88" i="9"/>
  <c r="I12" i="6" s="1"/>
  <c r="L82" i="9"/>
  <c r="L11" i="6" s="1"/>
  <c r="F52" i="9"/>
  <c r="F6" i="6" s="1"/>
  <c r="I58" i="9"/>
  <c r="I7" i="6" s="1"/>
  <c r="B58" i="9"/>
  <c r="B7" i="6" s="1"/>
  <c r="H88" i="9"/>
  <c r="H12" i="6" s="1"/>
  <c r="L58" i="9"/>
  <c r="L7" i="6" s="1"/>
  <c r="M156" i="9"/>
  <c r="K126" i="9"/>
  <c r="K9" i="7" s="1"/>
  <c r="H70" i="9"/>
  <c r="H9" i="6" s="1"/>
  <c r="L88" i="9"/>
  <c r="L12" i="6" s="1"/>
  <c r="J144" i="9"/>
  <c r="J12" i="7" s="1"/>
  <c r="E120" i="9"/>
  <c r="E8" i="7" s="1"/>
  <c r="L132" i="9"/>
  <c r="L10" i="7" s="1"/>
  <c r="F58" i="9"/>
  <c r="F7" i="6" s="1"/>
  <c r="D52" i="9"/>
  <c r="D6" i="6" s="1"/>
  <c r="C76" i="9"/>
  <c r="C10" i="6" s="1"/>
  <c r="G114" i="9"/>
  <c r="G7" i="7" s="1"/>
  <c r="G70" i="9"/>
  <c r="G9" i="6" s="1"/>
  <c r="J108" i="9"/>
  <c r="J6" i="7" s="1"/>
  <c r="J114" i="9"/>
  <c r="J7" i="7" s="1"/>
  <c r="G82" i="9"/>
  <c r="G11" i="6" s="1"/>
  <c r="M126" i="9"/>
  <c r="M9" i="7" s="1"/>
  <c r="E82" i="9"/>
  <c r="E11" i="6" s="1"/>
  <c r="K70" i="9"/>
  <c r="K9" i="6" s="1"/>
  <c r="C70" i="9"/>
  <c r="C9" i="6" s="1"/>
  <c r="B114" i="9"/>
  <c r="B7" i="7" s="1"/>
  <c r="F88" i="9"/>
  <c r="F12" i="6" s="1"/>
  <c r="C100" i="9"/>
  <c r="J70" i="9"/>
  <c r="J9" i="6" s="1"/>
  <c r="C150" i="9"/>
  <c r="C13" i="7" s="1"/>
  <c r="H100" i="9"/>
  <c r="D108" i="9"/>
  <c r="D6" i="7" s="1"/>
  <c r="M100" i="9"/>
  <c r="H144" i="9"/>
  <c r="H12" i="7" s="1"/>
  <c r="H138" i="9"/>
  <c r="H11" i="7" s="1"/>
  <c r="D126" i="9"/>
  <c r="D9" i="7" s="1"/>
  <c r="D64" i="9"/>
  <c r="D8" i="6" s="1"/>
  <c r="M150" i="9"/>
  <c r="M13" i="7" s="1"/>
  <c r="G120" i="9"/>
  <c r="G8" i="7" s="1"/>
  <c r="B132" i="9"/>
  <c r="B10" i="7" s="1"/>
  <c r="E114" i="9"/>
  <c r="E7" i="7" s="1"/>
  <c r="E108" i="9"/>
  <c r="E6" i="7" s="1"/>
  <c r="B144" i="9"/>
  <c r="B12" i="7" s="1"/>
  <c r="C126" i="9"/>
  <c r="C9" i="7" s="1"/>
  <c r="I100" i="9"/>
  <c r="J58" i="9"/>
  <c r="J7" i="6" s="1"/>
  <c r="G52" i="9"/>
  <c r="G6" i="6" s="1"/>
  <c r="K100" i="9"/>
  <c r="G64" i="9"/>
  <c r="G8" i="6" s="1"/>
  <c r="G108" i="9"/>
  <c r="G6" i="7" s="1"/>
  <c r="M138" i="9"/>
  <c r="M11" i="7" s="1"/>
  <c r="F100" i="9"/>
  <c r="K138" i="9"/>
  <c r="K11" i="7" s="1"/>
  <c r="K76" i="9"/>
  <c r="K10" i="6" s="1"/>
  <c r="I64" i="9"/>
  <c r="I8" i="6" s="1"/>
  <c r="B76" i="9"/>
  <c r="B10" i="6" s="1"/>
  <c r="E132" i="9"/>
  <c r="E10" i="7" s="1"/>
  <c r="I52" i="9"/>
  <c r="I6" i="6" s="1"/>
  <c r="E70" i="9"/>
  <c r="E9" i="6" s="1"/>
  <c r="H108" i="9"/>
  <c r="H6" i="7" s="1"/>
  <c r="F132" i="9"/>
  <c r="F10" i="7" s="1"/>
  <c r="M64" i="9"/>
  <c r="M8" i="6" s="1"/>
  <c r="G126" i="9"/>
  <c r="G9" i="7" s="1"/>
  <c r="B88" i="9"/>
  <c r="B12" i="6" s="1"/>
  <c r="E138" i="9"/>
  <c r="E11" i="7" s="1"/>
  <c r="I120" i="9"/>
  <c r="I8" i="7" s="1"/>
  <c r="D138" i="9"/>
  <c r="D11" i="7" s="1"/>
  <c r="C138" i="9"/>
  <c r="C11" i="7" s="1"/>
  <c r="E64" i="9"/>
  <c r="E8" i="6" s="1"/>
  <c r="I82" i="9"/>
  <c r="I11" i="6" s="1"/>
  <c r="L144" i="9"/>
  <c r="L12" i="7" s="1"/>
  <c r="K58" i="9"/>
  <c r="K7" i="6" s="1"/>
  <c r="L52" i="9"/>
  <c r="F82" i="9"/>
  <c r="F11" i="6" s="1"/>
  <c r="G144" i="9"/>
  <c r="G12" i="7" s="1"/>
  <c r="G58" i="9"/>
  <c r="G7" i="6" s="1"/>
  <c r="K114" i="9"/>
  <c r="K7" i="7" s="1"/>
  <c r="K64" i="9"/>
  <c r="K8" i="6" s="1"/>
  <c r="M70" i="9"/>
  <c r="M9" i="6" s="1"/>
  <c r="L114" i="9"/>
  <c r="L7" i="7" s="1"/>
  <c r="D120" i="9"/>
  <c r="D8" i="7" s="1"/>
  <c r="M76" i="9"/>
  <c r="M10" i="6" s="1"/>
  <c r="J64" i="9"/>
  <c r="J8" i="6" s="1"/>
  <c r="J120" i="9"/>
  <c r="J8" i="7" s="1"/>
  <c r="J100" i="9"/>
  <c r="H150" i="9"/>
  <c r="H13" i="7" s="1"/>
  <c r="E100" i="9"/>
  <c r="J132" i="9"/>
  <c r="J10" i="7" s="1"/>
  <c r="K150" i="9"/>
  <c r="K13" i="7" s="1"/>
  <c r="B64" i="9"/>
  <c r="B8" i="6" s="1"/>
  <c r="D70" i="9"/>
  <c r="D9" i="6" s="1"/>
  <c r="F144" i="9"/>
  <c r="F12" i="7" s="1"/>
  <c r="I150" i="9"/>
  <c r="I13" i="7" s="1"/>
  <c r="M108" i="9"/>
  <c r="M6" i="7" s="1"/>
  <c r="M132" i="9"/>
  <c r="M10" i="7" s="1"/>
  <c r="M82" i="9"/>
  <c r="M11" i="6" s="1"/>
  <c r="C58" i="9"/>
  <c r="C7" i="6" s="1"/>
  <c r="C88" i="9"/>
  <c r="C12" i="6" s="1"/>
  <c r="B150" i="9"/>
  <c r="B13" i="7" s="1"/>
  <c r="L64" i="9"/>
  <c r="L8" i="6" s="1"/>
  <c r="H64" i="9"/>
  <c r="H8" i="6" s="1"/>
  <c r="M114" i="9"/>
  <c r="M7" i="7" s="1"/>
  <c r="F70" i="9"/>
  <c r="F9" i="6" s="1"/>
  <c r="L138" i="9"/>
  <c r="L11" i="7" s="1"/>
  <c r="K52" i="9"/>
  <c r="K6" i="6" s="1"/>
  <c r="G100" i="9"/>
  <c r="M52" i="9"/>
  <c r="M6" i="6" s="1"/>
  <c r="B100" i="9"/>
  <c r="M144" i="9"/>
  <c r="M12" i="7" s="1"/>
  <c r="J150" i="9"/>
  <c r="J13" i="7" s="1"/>
  <c r="J52" i="9"/>
  <c r="J6" i="6" s="1"/>
  <c r="B10" i="5" l="1"/>
  <c r="C10" i="5" s="1"/>
  <c r="D10" i="5" s="1"/>
  <c r="E10" i="5" s="1"/>
  <c r="F10" i="5" s="1"/>
  <c r="G10" i="5" s="1"/>
  <c r="H10" i="5" s="1"/>
  <c r="I10" i="5" s="1"/>
  <c r="J10" i="5" s="1"/>
  <c r="K10" i="5" s="1"/>
  <c r="H18" i="5"/>
  <c r="G17" i="5"/>
  <c r="I3" i="14" s="1"/>
  <c r="B9" i="5"/>
  <c r="C9" i="5" s="1"/>
  <c r="D9" i="5" s="1"/>
  <c r="E9" i="5" s="1"/>
  <c r="F9" i="5" s="1"/>
  <c r="G9" i="5" s="1"/>
  <c r="H9" i="5" s="1"/>
  <c r="I9" i="5" s="1"/>
  <c r="J9" i="5" s="1"/>
  <c r="K9" i="5" s="1"/>
  <c r="B13" i="5"/>
  <c r="C13" i="5" s="1"/>
  <c r="D13" i="5" s="1"/>
  <c r="E13" i="5" s="1"/>
  <c r="F13" i="5" s="1"/>
  <c r="G13" i="5" s="1"/>
  <c r="H13" i="5" s="1"/>
  <c r="I13" i="5" s="1"/>
  <c r="J13" i="5" s="1"/>
  <c r="K13" i="5" s="1"/>
  <c r="B12" i="5"/>
  <c r="C12" i="5" s="1"/>
  <c r="D12" i="5" s="1"/>
  <c r="E12" i="5" s="1"/>
  <c r="F12" i="5" s="1"/>
  <c r="G12" i="5" s="1"/>
  <c r="H12" i="5" s="1"/>
  <c r="I12" i="5" s="1"/>
  <c r="J12" i="5" s="1"/>
  <c r="K12" i="5" s="1"/>
  <c r="B7" i="5"/>
  <c r="C7" i="5" s="1"/>
  <c r="D7" i="5" s="1"/>
  <c r="E7" i="5" s="1"/>
  <c r="F7" i="5" s="1"/>
  <c r="G7" i="5" s="1"/>
  <c r="H7" i="5" s="1"/>
  <c r="I7" i="5" s="1"/>
  <c r="J7" i="5" s="1"/>
  <c r="K7" i="5" s="1"/>
  <c r="B8" i="5"/>
  <c r="C8" i="5" s="1"/>
  <c r="D8" i="5" s="1"/>
  <c r="E8" i="5" s="1"/>
  <c r="F8" i="5" s="1"/>
  <c r="G8" i="5" s="1"/>
  <c r="H8" i="5" s="1"/>
  <c r="I8" i="5" s="1"/>
  <c r="J8" i="5" s="1"/>
  <c r="K8" i="5" s="1"/>
  <c r="B11" i="5"/>
  <c r="C11" i="5" s="1"/>
  <c r="D11" i="5" s="1"/>
  <c r="E11" i="5" s="1"/>
  <c r="F11" i="5" s="1"/>
  <c r="G11" i="5" s="1"/>
  <c r="H11" i="5" s="1"/>
  <c r="I11" i="5" s="1"/>
  <c r="J11" i="5" s="1"/>
  <c r="K11" i="5" s="1"/>
  <c r="B6" i="5"/>
  <c r="G9" i="2"/>
  <c r="F8" i="2"/>
  <c r="H3" i="10" s="1"/>
  <c r="B6" i="6"/>
  <c r="B160" i="9"/>
  <c r="B14" i="6" s="1"/>
  <c r="F5" i="6"/>
  <c r="F16" i="6" s="1"/>
  <c r="F29" i="6" s="1"/>
  <c r="F31" i="6" s="1"/>
  <c r="F32" i="6" s="1"/>
  <c r="F17" i="13" s="1"/>
  <c r="G161" i="9"/>
  <c r="G14" i="7" s="1"/>
  <c r="G5" i="7" s="1"/>
  <c r="G16" i="7" s="1"/>
  <c r="G30" i="7" s="1"/>
  <c r="E161" i="9"/>
  <c r="E14" i="7" s="1"/>
  <c r="E5" i="7" s="1"/>
  <c r="E16" i="7" s="1"/>
  <c r="E30" i="7" s="1"/>
  <c r="H161" i="9"/>
  <c r="H14" i="7" s="1"/>
  <c r="H5" i="7" s="1"/>
  <c r="H16" i="7" s="1"/>
  <c r="H30" i="7" s="1"/>
  <c r="C160" i="9"/>
  <c r="C14" i="6" s="1"/>
  <c r="C5" i="6" s="1"/>
  <c r="C16" i="6" s="1"/>
  <c r="C29" i="6" s="1"/>
  <c r="C31" i="6" s="1"/>
  <c r="C32" i="6" s="1"/>
  <c r="C17" i="13" s="1"/>
  <c r="L160" i="9"/>
  <c r="L14" i="6" s="1"/>
  <c r="L6" i="6"/>
  <c r="K161" i="9"/>
  <c r="K14" i="7" s="1"/>
  <c r="K5" i="7" s="1"/>
  <c r="K16" i="7" s="1"/>
  <c r="K30" i="7" s="1"/>
  <c r="I160" i="9"/>
  <c r="I14" i="6" s="1"/>
  <c r="I5" i="6" s="1"/>
  <c r="I16" i="6" s="1"/>
  <c r="I29" i="6" s="1"/>
  <c r="I31" i="6" s="1"/>
  <c r="I32" i="6" s="1"/>
  <c r="I17" i="13" s="1"/>
  <c r="I161" i="9"/>
  <c r="I14" i="7" s="1"/>
  <c r="I5" i="7" s="1"/>
  <c r="I16" i="7" s="1"/>
  <c r="I30" i="7" s="1"/>
  <c r="H160" i="9"/>
  <c r="H14" i="6" s="1"/>
  <c r="H5" i="6" s="1"/>
  <c r="H16" i="6" s="1"/>
  <c r="H29" i="6" s="1"/>
  <c r="H31" i="6" s="1"/>
  <c r="H32" i="6" s="1"/>
  <c r="H17" i="13" s="1"/>
  <c r="F160" i="9"/>
  <c r="F14" i="6" s="1"/>
  <c r="E160" i="9"/>
  <c r="E14" i="6" s="1"/>
  <c r="E5" i="6" s="1"/>
  <c r="E16" i="6" s="1"/>
  <c r="E29" i="6" s="1"/>
  <c r="E31" i="6" s="1"/>
  <c r="E32" i="6" s="1"/>
  <c r="E17" i="13" s="1"/>
  <c r="D161" i="9"/>
  <c r="D14" i="7" s="1"/>
  <c r="D5" i="7" s="1"/>
  <c r="D16" i="7" s="1"/>
  <c r="D30" i="7" s="1"/>
  <c r="F161" i="9"/>
  <c r="F14" i="7" s="1"/>
  <c r="F5" i="7" s="1"/>
  <c r="F16" i="7" s="1"/>
  <c r="F30" i="7" s="1"/>
  <c r="J161" i="9"/>
  <c r="J14" i="7" s="1"/>
  <c r="J5" i="7" s="1"/>
  <c r="J16" i="7" s="1"/>
  <c r="J30" i="7" s="1"/>
  <c r="G160" i="9"/>
  <c r="G14" i="6" s="1"/>
  <c r="G5" i="6" s="1"/>
  <c r="G16" i="6" s="1"/>
  <c r="G29" i="6" s="1"/>
  <c r="G31" i="6" s="1"/>
  <c r="G32" i="6" s="1"/>
  <c r="G17" i="13" s="1"/>
  <c r="M160" i="9"/>
  <c r="M14" i="6" s="1"/>
  <c r="M5" i="6" s="1"/>
  <c r="M16" i="6" s="1"/>
  <c r="M29" i="6" s="1"/>
  <c r="M31" i="6" s="1"/>
  <c r="M32" i="6" s="1"/>
  <c r="M17" i="13" s="1"/>
  <c r="B161" i="9"/>
  <c r="B14" i="7" s="1"/>
  <c r="B5" i="7" s="1"/>
  <c r="B16" i="7" s="1"/>
  <c r="B30" i="7" s="1"/>
  <c r="D160" i="9"/>
  <c r="D14" i="6" s="1"/>
  <c r="D5" i="6" s="1"/>
  <c r="D16" i="6" s="1"/>
  <c r="D29" i="6" s="1"/>
  <c r="D31" i="6" s="1"/>
  <c r="D32" i="6" s="1"/>
  <c r="D17" i="13" s="1"/>
  <c r="C161" i="9"/>
  <c r="C14" i="7" s="1"/>
  <c r="C5" i="7" s="1"/>
  <c r="C16" i="7" s="1"/>
  <c r="C30" i="7" s="1"/>
  <c r="L161" i="9"/>
  <c r="L14" i="7" s="1"/>
  <c r="L5" i="7" s="1"/>
  <c r="L16" i="7" s="1"/>
  <c r="L30" i="7" s="1"/>
  <c r="K160" i="9"/>
  <c r="K14" i="6" s="1"/>
  <c r="K5" i="6" s="1"/>
  <c r="K16" i="6" s="1"/>
  <c r="K29" i="6" s="1"/>
  <c r="K31" i="6" s="1"/>
  <c r="K32" i="6" s="1"/>
  <c r="K17" i="13" s="1"/>
  <c r="J160" i="9"/>
  <c r="J14" i="6" s="1"/>
  <c r="J5" i="6" s="1"/>
  <c r="J16" i="6" s="1"/>
  <c r="J29" i="6" s="1"/>
  <c r="J31" i="6" s="1"/>
  <c r="J32" i="6" s="1"/>
  <c r="J17" i="13" s="1"/>
  <c r="M161" i="9"/>
  <c r="M14" i="7" s="1"/>
  <c r="M5" i="7" s="1"/>
  <c r="M16" i="7" s="1"/>
  <c r="M30" i="7" s="1"/>
  <c r="B5" i="6" l="1"/>
  <c r="L5" i="6"/>
  <c r="L16" i="6" s="1"/>
  <c r="L29" i="6" s="1"/>
  <c r="L31" i="6" s="1"/>
  <c r="L32" i="6" s="1"/>
  <c r="L17" i="13" s="1"/>
  <c r="I18" i="5"/>
  <c r="H17" i="5"/>
  <c r="J3" i="14" s="1"/>
  <c r="C6" i="5"/>
  <c r="B14" i="5"/>
  <c r="C14" i="5" s="1"/>
  <c r="D14" i="5" s="1"/>
  <c r="E14" i="5" s="1"/>
  <c r="F14" i="5" s="1"/>
  <c r="G14" i="5" s="1"/>
  <c r="H14" i="5" s="1"/>
  <c r="I14" i="5" s="1"/>
  <c r="J14" i="5" s="1"/>
  <c r="K14" i="5" s="1"/>
  <c r="I33" i="6"/>
  <c r="I6" i="13"/>
  <c r="I14" i="13" s="1"/>
  <c r="C33" i="6"/>
  <c r="C6" i="13"/>
  <c r="C14" i="13" s="1"/>
  <c r="M33" i="6"/>
  <c r="M6" i="13"/>
  <c r="M14" i="13" s="1"/>
  <c r="J33" i="6"/>
  <c r="J6" i="13"/>
  <c r="J14" i="13" s="1"/>
  <c r="F33" i="6"/>
  <c r="F6" i="13"/>
  <c r="F14" i="13" s="1"/>
  <c r="D33" i="6"/>
  <c r="D6" i="13"/>
  <c r="D14" i="13" s="1"/>
  <c r="G33" i="6"/>
  <c r="G6" i="13"/>
  <c r="G14" i="13" s="1"/>
  <c r="H33" i="6"/>
  <c r="H6" i="13"/>
  <c r="H14" i="13" s="1"/>
  <c r="E33" i="6"/>
  <c r="E6" i="13"/>
  <c r="E14" i="13" s="1"/>
  <c r="K33" i="6"/>
  <c r="K6" i="13"/>
  <c r="K14" i="13" s="1"/>
  <c r="H9" i="2"/>
  <c r="G8" i="2"/>
  <c r="I3" i="10" s="1"/>
  <c r="B16" i="6"/>
  <c r="B29" i="6" s="1"/>
  <c r="B5" i="2"/>
  <c r="D2" i="10" s="1"/>
  <c r="D5" i="10" s="1"/>
  <c r="D7" i="10" s="1"/>
  <c r="D17" i="10" s="1"/>
  <c r="D22" i="10" s="1"/>
  <c r="D23" i="10" s="1"/>
  <c r="D8" i="10" s="1"/>
  <c r="D9" i="10" s="1"/>
  <c r="N161" i="9"/>
  <c r="N160" i="9"/>
  <c r="L6" i="13" l="1"/>
  <c r="L14" i="13" s="1"/>
  <c r="L33" i="6"/>
  <c r="I17" i="5"/>
  <c r="K3" i="14" s="1"/>
  <c r="J18" i="5"/>
  <c r="D6" i="5"/>
  <c r="C5" i="5"/>
  <c r="B5" i="5"/>
  <c r="B31" i="6"/>
  <c r="B32" i="6" s="1"/>
  <c r="B17" i="13" s="1"/>
  <c r="B17" i="4" s="1"/>
  <c r="I9" i="2"/>
  <c r="H8" i="2"/>
  <c r="J3" i="10" s="1"/>
  <c r="B7" i="2"/>
  <c r="B20" i="2" s="1"/>
  <c r="B22" i="2" s="1"/>
  <c r="B23" i="2" s="1"/>
  <c r="C5" i="2"/>
  <c r="B16" i="5" l="1"/>
  <c r="B29" i="5" s="1"/>
  <c r="D2" i="14"/>
  <c r="D5" i="14" s="1"/>
  <c r="C7" i="4"/>
  <c r="C15" i="4" s="1"/>
  <c r="E2" i="10"/>
  <c r="E5" i="10" s="1"/>
  <c r="E7" i="10" s="1"/>
  <c r="E17" i="10" s="1"/>
  <c r="E22" i="10" s="1"/>
  <c r="E23" i="10" s="1"/>
  <c r="E8" i="10" s="1"/>
  <c r="E9" i="10" s="1"/>
  <c r="J17" i="5"/>
  <c r="L3" i="14" s="1"/>
  <c r="K18" i="5"/>
  <c r="K17" i="5" s="1"/>
  <c r="M3" i="14" s="1"/>
  <c r="C16" i="5"/>
  <c r="C29" i="5" s="1"/>
  <c r="E2" i="14"/>
  <c r="E5" i="14" s="1"/>
  <c r="D5" i="5"/>
  <c r="E6" i="5"/>
  <c r="B6" i="13"/>
  <c r="B14" i="13" s="1"/>
  <c r="B33" i="6"/>
  <c r="B24" i="2"/>
  <c r="B24" i="3" s="1"/>
  <c r="J9" i="2"/>
  <c r="I8" i="2"/>
  <c r="K3" i="10" s="1"/>
  <c r="D5" i="2"/>
  <c r="C7" i="2"/>
  <c r="C20" i="2" s="1"/>
  <c r="C22" i="2" s="1"/>
  <c r="C23" i="2" s="1"/>
  <c r="C17" i="4" s="1"/>
  <c r="E7" i="14" l="1"/>
  <c r="E17" i="14"/>
  <c r="D16" i="5"/>
  <c r="D29" i="5" s="1"/>
  <c r="F2" i="14"/>
  <c r="F5" i="14" s="1"/>
  <c r="D17" i="14"/>
  <c r="D7" i="14"/>
  <c r="D7" i="4"/>
  <c r="D15" i="4" s="1"/>
  <c r="F2" i="10"/>
  <c r="F5" i="10" s="1"/>
  <c r="F7" i="10" s="1"/>
  <c r="F17" i="10" s="1"/>
  <c r="F22" i="10" s="1"/>
  <c r="F23" i="10" s="1"/>
  <c r="F8" i="10" s="1"/>
  <c r="F9" i="10" s="1"/>
  <c r="B23" i="3"/>
  <c r="M27" i="13" s="1"/>
  <c r="M30" i="13" s="1"/>
  <c r="F6" i="5"/>
  <c r="E5" i="5"/>
  <c r="B7" i="4"/>
  <c r="B15" i="4" s="1"/>
  <c r="B18" i="4" s="1"/>
  <c r="C22" i="3"/>
  <c r="M16" i="13"/>
  <c r="M18" i="13" s="1"/>
  <c r="D18" i="13"/>
  <c r="D31" i="13" s="1"/>
  <c r="C24" i="2"/>
  <c r="C24" i="3" s="1"/>
  <c r="C23" i="3" s="1"/>
  <c r="K9" i="2"/>
  <c r="K8" i="2" s="1"/>
  <c r="M3" i="10" s="1"/>
  <c r="J8" i="2"/>
  <c r="L3" i="10" s="1"/>
  <c r="D7" i="2"/>
  <c r="D20" i="2" s="1"/>
  <c r="D22" i="2" s="1"/>
  <c r="D23" i="2" s="1"/>
  <c r="D17" i="4" s="1"/>
  <c r="E5" i="2"/>
  <c r="E7" i="4" l="1"/>
  <c r="E15" i="4" s="1"/>
  <c r="G2" i="10"/>
  <c r="G5" i="10" s="1"/>
  <c r="G7" i="10" s="1"/>
  <c r="G17" i="10" s="1"/>
  <c r="G22" i="10" s="1"/>
  <c r="G23" i="10" s="1"/>
  <c r="G8" i="10" s="1"/>
  <c r="G9" i="10" s="1"/>
  <c r="F17" i="14"/>
  <c r="F7" i="14"/>
  <c r="E16" i="5"/>
  <c r="E29" i="5" s="1"/>
  <c r="G2" i="14"/>
  <c r="G5" i="14" s="1"/>
  <c r="E22" i="14"/>
  <c r="E23" i="14" s="1"/>
  <c r="E8" i="14" s="1"/>
  <c r="E9" i="14" s="1"/>
  <c r="D22" i="14"/>
  <c r="D23" i="14" s="1"/>
  <c r="D8" i="14" s="1"/>
  <c r="D9" i="14" s="1"/>
  <c r="B20" i="3"/>
  <c r="B33" i="3" s="1"/>
  <c r="M31" i="13"/>
  <c r="B27" i="4"/>
  <c r="B30" i="4" s="1"/>
  <c r="B31" i="4" s="1"/>
  <c r="F5" i="5"/>
  <c r="G6" i="5"/>
  <c r="C27" i="4"/>
  <c r="C30" i="4" s="1"/>
  <c r="C20" i="3"/>
  <c r="C33" i="3" s="1"/>
  <c r="D22" i="3"/>
  <c r="C18" i="4"/>
  <c r="H18" i="13"/>
  <c r="H31" i="13" s="1"/>
  <c r="K18" i="13"/>
  <c r="K31" i="13" s="1"/>
  <c r="J18" i="13"/>
  <c r="J31" i="13" s="1"/>
  <c r="E18" i="13"/>
  <c r="E31" i="13" s="1"/>
  <c r="L18" i="13"/>
  <c r="L31" i="13" s="1"/>
  <c r="I18" i="13"/>
  <c r="I31" i="13" s="1"/>
  <c r="G18" i="13"/>
  <c r="G31" i="13" s="1"/>
  <c r="F18" i="13"/>
  <c r="F31" i="13" s="1"/>
  <c r="C18" i="13"/>
  <c r="C31" i="13" s="1"/>
  <c r="D24" i="2"/>
  <c r="D24" i="3" s="1"/>
  <c r="D23" i="3" s="1"/>
  <c r="F5" i="2"/>
  <c r="E7" i="2"/>
  <c r="E20" i="2" s="1"/>
  <c r="E22" i="2" s="1"/>
  <c r="E23" i="2" s="1"/>
  <c r="E17" i="4" s="1"/>
  <c r="G17" i="14" l="1"/>
  <c r="G7" i="14"/>
  <c r="F22" i="14"/>
  <c r="F23" i="14" s="1"/>
  <c r="F8" i="14" s="1"/>
  <c r="F9" i="14" s="1"/>
  <c r="F7" i="4"/>
  <c r="F15" i="4" s="1"/>
  <c r="H2" i="10"/>
  <c r="H5" i="10" s="1"/>
  <c r="H7" i="10" s="1"/>
  <c r="F16" i="5"/>
  <c r="F29" i="5" s="1"/>
  <c r="H2" i="14"/>
  <c r="H5" i="14" s="1"/>
  <c r="G5" i="5"/>
  <c r="H6" i="5"/>
  <c r="C31" i="4"/>
  <c r="D27" i="4"/>
  <c r="D30" i="4" s="1"/>
  <c r="D18" i="4"/>
  <c r="E22" i="3"/>
  <c r="B33" i="4"/>
  <c r="B15" i="3" s="1"/>
  <c r="B18" i="13"/>
  <c r="B31" i="13" s="1"/>
  <c r="B33" i="13" s="1"/>
  <c r="C32" i="13" s="1"/>
  <c r="C33" i="13" s="1"/>
  <c r="D32" i="13" s="1"/>
  <c r="D33" i="13" s="1"/>
  <c r="E32" i="13" s="1"/>
  <c r="E33" i="13" s="1"/>
  <c r="F32" i="13" s="1"/>
  <c r="F33" i="13" s="1"/>
  <c r="G32" i="13" s="1"/>
  <c r="G33" i="13" s="1"/>
  <c r="H32" i="13" s="1"/>
  <c r="H33" i="13" s="1"/>
  <c r="I32" i="13" s="1"/>
  <c r="I33" i="13" s="1"/>
  <c r="J32" i="13" s="1"/>
  <c r="J33" i="13" s="1"/>
  <c r="K32" i="13" s="1"/>
  <c r="K33" i="13" s="1"/>
  <c r="L32" i="13" s="1"/>
  <c r="L33" i="13" s="1"/>
  <c r="M32" i="13" s="1"/>
  <c r="M33" i="13" s="1"/>
  <c r="D20" i="3"/>
  <c r="D33" i="3" s="1"/>
  <c r="E24" i="2"/>
  <c r="E24" i="3" s="1"/>
  <c r="E23" i="3" s="1"/>
  <c r="G5" i="2"/>
  <c r="F7" i="2"/>
  <c r="F20" i="2" s="1"/>
  <c r="F22" i="2" s="1"/>
  <c r="F23" i="2" s="1"/>
  <c r="F17" i="4" s="1"/>
  <c r="H17" i="10" l="1"/>
  <c r="H22" i="10" s="1"/>
  <c r="H23" i="10" s="1"/>
  <c r="H8" i="10" s="1"/>
  <c r="H9" i="10" s="1"/>
  <c r="G7" i="4"/>
  <c r="G15" i="4" s="1"/>
  <c r="I2" i="10"/>
  <c r="I5" i="10" s="1"/>
  <c r="I7" i="10" s="1"/>
  <c r="I17" i="10" s="1"/>
  <c r="I22" i="10" s="1"/>
  <c r="I23" i="10" s="1"/>
  <c r="I8" i="10" s="1"/>
  <c r="I9" i="10" s="1"/>
  <c r="G16" i="5"/>
  <c r="G29" i="5" s="1"/>
  <c r="I2" i="14"/>
  <c r="I5" i="14" s="1"/>
  <c r="H7" i="14"/>
  <c r="H17" i="14"/>
  <c r="G22" i="14"/>
  <c r="G23" i="14" s="1"/>
  <c r="G8" i="14" s="1"/>
  <c r="G9" i="14" s="1"/>
  <c r="H5" i="5"/>
  <c r="I6" i="5"/>
  <c r="D31" i="4"/>
  <c r="E27" i="4"/>
  <c r="E30" i="4" s="1"/>
  <c r="F22" i="3"/>
  <c r="E18" i="4"/>
  <c r="B14" i="3"/>
  <c r="B17" i="3" s="1"/>
  <c r="B35" i="3" s="1"/>
  <c r="C32" i="4"/>
  <c r="C33" i="4" s="1"/>
  <c r="E20" i="3"/>
  <c r="E33" i="3" s="1"/>
  <c r="F24" i="2"/>
  <c r="F24" i="3" s="1"/>
  <c r="F23" i="3" s="1"/>
  <c r="H5" i="2"/>
  <c r="G7" i="2"/>
  <c r="G20" i="2" s="1"/>
  <c r="G22" i="2" s="1"/>
  <c r="G23" i="2" s="1"/>
  <c r="G17" i="4" s="1"/>
  <c r="H7" i="4" l="1"/>
  <c r="H15" i="4" s="1"/>
  <c r="J2" i="10"/>
  <c r="J5" i="10" s="1"/>
  <c r="J7" i="10" s="1"/>
  <c r="J17" i="10" s="1"/>
  <c r="J22" i="10" s="1"/>
  <c r="J23" i="10" s="1"/>
  <c r="J8" i="10" s="1"/>
  <c r="J9" i="10" s="1"/>
  <c r="I7" i="14"/>
  <c r="I17" i="14"/>
  <c r="H16" i="5"/>
  <c r="H29" i="5" s="1"/>
  <c r="J2" i="14"/>
  <c r="J5" i="14" s="1"/>
  <c r="H22" i="14"/>
  <c r="H23" i="14" s="1"/>
  <c r="H8" i="14" s="1"/>
  <c r="H9" i="14" s="1"/>
  <c r="J6" i="5"/>
  <c r="I5" i="5"/>
  <c r="E31" i="4"/>
  <c r="F27" i="4"/>
  <c r="F30" i="4" s="1"/>
  <c r="G22" i="3"/>
  <c r="F18" i="4"/>
  <c r="C15" i="3"/>
  <c r="C14" i="3" s="1"/>
  <c r="C17" i="3" s="1"/>
  <c r="C35" i="3" s="1"/>
  <c r="D32" i="4"/>
  <c r="D33" i="4" s="1"/>
  <c r="F20" i="3"/>
  <c r="F33" i="3" s="1"/>
  <c r="G24" i="2"/>
  <c r="G24" i="3" s="1"/>
  <c r="I5" i="2"/>
  <c r="H7" i="2"/>
  <c r="H20" i="2" s="1"/>
  <c r="H22" i="2" s="1"/>
  <c r="H23" i="2" s="1"/>
  <c r="H17" i="4" s="1"/>
  <c r="I22" i="14" l="1"/>
  <c r="I23" i="14" s="1"/>
  <c r="I8" i="14" s="1"/>
  <c r="I9" i="14" s="1"/>
  <c r="J7" i="14"/>
  <c r="J17" i="14"/>
  <c r="K2" i="10"/>
  <c r="K5" i="10" s="1"/>
  <c r="K7" i="10" s="1"/>
  <c r="K17" i="10" s="1"/>
  <c r="K22" i="10" s="1"/>
  <c r="K23" i="10" s="1"/>
  <c r="K8" i="10" s="1"/>
  <c r="K9" i="10" s="1"/>
  <c r="I7" i="4"/>
  <c r="I15" i="4" s="1"/>
  <c r="I16" i="5"/>
  <c r="I29" i="5" s="1"/>
  <c r="K2" i="14"/>
  <c r="K5" i="14" s="1"/>
  <c r="K6" i="5"/>
  <c r="K5" i="5" s="1"/>
  <c r="J5" i="5"/>
  <c r="F31" i="4"/>
  <c r="G18" i="4"/>
  <c r="G23" i="3"/>
  <c r="H22" i="3"/>
  <c r="D15" i="3"/>
  <c r="D14" i="3" s="1"/>
  <c r="D17" i="3" s="1"/>
  <c r="D35" i="3" s="1"/>
  <c r="E32" i="4"/>
  <c r="E33" i="4" s="1"/>
  <c r="H24" i="2"/>
  <c r="H24" i="3" s="1"/>
  <c r="J5" i="2"/>
  <c r="I7" i="2"/>
  <c r="I20" i="2" s="1"/>
  <c r="I22" i="2" s="1"/>
  <c r="I23" i="2" s="1"/>
  <c r="I17" i="4" s="1"/>
  <c r="J22" i="14" l="1"/>
  <c r="J23" i="14" s="1"/>
  <c r="J8" i="14" s="1"/>
  <c r="J9" i="14" s="1"/>
  <c r="J16" i="5"/>
  <c r="J29" i="5" s="1"/>
  <c r="L2" i="14"/>
  <c r="L5" i="14" s="1"/>
  <c r="K16" i="5"/>
  <c r="K29" i="5" s="1"/>
  <c r="M2" i="14"/>
  <c r="M5" i="14" s="1"/>
  <c r="L2" i="10"/>
  <c r="L5" i="10" s="1"/>
  <c r="L7" i="10" s="1"/>
  <c r="L17" i="10" s="1"/>
  <c r="L22" i="10" s="1"/>
  <c r="L23" i="10" s="1"/>
  <c r="L8" i="10" s="1"/>
  <c r="L9" i="10" s="1"/>
  <c r="J7" i="4"/>
  <c r="J15" i="4" s="1"/>
  <c r="K7" i="14"/>
  <c r="K17" i="14"/>
  <c r="G27" i="4"/>
  <c r="G30" i="4" s="1"/>
  <c r="G31" i="4" s="1"/>
  <c r="G20" i="3"/>
  <c r="G33" i="3" s="1"/>
  <c r="H18" i="4"/>
  <c r="H23" i="3"/>
  <c r="I22" i="3"/>
  <c r="F32" i="4"/>
  <c r="F33" i="4" s="1"/>
  <c r="E15" i="3"/>
  <c r="E14" i="3" s="1"/>
  <c r="E17" i="3" s="1"/>
  <c r="E35" i="3" s="1"/>
  <c r="I24" i="2"/>
  <c r="I24" i="3" s="1"/>
  <c r="K5" i="2"/>
  <c r="J7" i="2"/>
  <c r="J20" i="2" s="1"/>
  <c r="J22" i="2" s="1"/>
  <c r="J23" i="2" s="1"/>
  <c r="J17" i="4" s="1"/>
  <c r="M17" i="14" l="1"/>
  <c r="M7" i="14"/>
  <c r="L17" i="14"/>
  <c r="L7" i="14"/>
  <c r="K7" i="2"/>
  <c r="K20" i="2" s="1"/>
  <c r="K22" i="2" s="1"/>
  <c r="K23" i="2" s="1"/>
  <c r="K17" i="4" s="1"/>
  <c r="M2" i="10"/>
  <c r="M5" i="10" s="1"/>
  <c r="M7" i="10" s="1"/>
  <c r="M17" i="10" s="1"/>
  <c r="M22" i="10" s="1"/>
  <c r="M23" i="10" s="1"/>
  <c r="M8" i="10" s="1"/>
  <c r="M9" i="10" s="1"/>
  <c r="M10" i="10" s="1"/>
  <c r="M12" i="10" s="1"/>
  <c r="D12" i="10" s="1"/>
  <c r="D14" i="10" s="1"/>
  <c r="K7" i="4"/>
  <c r="K15" i="4" s="1"/>
  <c r="K23" i="14"/>
  <c r="K8" i="14" s="1"/>
  <c r="K9" i="14" s="1"/>
  <c r="K22" i="14"/>
  <c r="H27" i="4"/>
  <c r="H30" i="4" s="1"/>
  <c r="H31" i="4" s="1"/>
  <c r="H20" i="3"/>
  <c r="H33" i="3" s="1"/>
  <c r="I18" i="4"/>
  <c r="I23" i="3"/>
  <c r="J22" i="3"/>
  <c r="F15" i="3"/>
  <c r="F14" i="3" s="1"/>
  <c r="F17" i="3" s="1"/>
  <c r="F35" i="3" s="1"/>
  <c r="G32" i="4"/>
  <c r="G33" i="4" s="1"/>
  <c r="J24" i="2"/>
  <c r="J24" i="3" s="1"/>
  <c r="J23" i="3" s="1"/>
  <c r="K24" i="2" l="1"/>
  <c r="K24" i="3" s="1"/>
  <c r="L22" i="14"/>
  <c r="L23" i="14" s="1"/>
  <c r="L8" i="14" s="1"/>
  <c r="L9" i="14" s="1"/>
  <c r="M22" i="14"/>
  <c r="M23" i="14" s="1"/>
  <c r="M8" i="14" s="1"/>
  <c r="M9" i="14" s="1"/>
  <c r="M10" i="14" s="1"/>
  <c r="M12" i="14" s="1"/>
  <c r="J27" i="4"/>
  <c r="J30" i="4" s="1"/>
  <c r="I27" i="4"/>
  <c r="I30" i="4" s="1"/>
  <c r="I31" i="4" s="1"/>
  <c r="I20" i="3"/>
  <c r="I33" i="3" s="1"/>
  <c r="K18" i="4"/>
  <c r="K23" i="3"/>
  <c r="K22" i="3"/>
  <c r="J18" i="4"/>
  <c r="G15" i="3"/>
  <c r="G14" i="3" s="1"/>
  <c r="G17" i="3" s="1"/>
  <c r="G35" i="3" s="1"/>
  <c r="H32" i="4"/>
  <c r="H33" i="4" s="1"/>
  <c r="J20" i="3"/>
  <c r="J33" i="3" s="1"/>
  <c r="D12" i="14" l="1"/>
  <c r="D14" i="14" s="1"/>
  <c r="K27" i="4"/>
  <c r="K30" i="4" s="1"/>
  <c r="K31" i="4" s="1"/>
  <c r="J31" i="4"/>
  <c r="K20" i="3"/>
  <c r="K33" i="3" s="1"/>
  <c r="I32" i="4"/>
  <c r="I33" i="4" s="1"/>
  <c r="H15" i="3"/>
  <c r="H14" i="3" s="1"/>
  <c r="H17" i="3" s="1"/>
  <c r="H35" i="3" s="1"/>
  <c r="J32" i="4" l="1"/>
  <c r="J33" i="4" s="1"/>
  <c r="I15" i="3"/>
  <c r="I14" i="3" s="1"/>
  <c r="I17" i="3" s="1"/>
  <c r="I35" i="3" s="1"/>
  <c r="K32" i="4" l="1"/>
  <c r="J15" i="3"/>
  <c r="J14" i="3" s="1"/>
  <c r="J17" i="3" s="1"/>
  <c r="J35" i="3" s="1"/>
  <c r="K33" i="4" l="1"/>
  <c r="K15" i="3" s="1"/>
  <c r="K14" i="3" s="1"/>
  <c r="K17" i="3" s="1"/>
  <c r="K35" i="3" s="1"/>
  <c r="C157" i="3"/>
  <c r="B106" i="3" s="1"/>
  <c r="E26" i="11"/>
  <c r="H26" i="11"/>
  <c r="G26" i="11"/>
  <c r="B25" i="11"/>
  <c r="B62" i="4" s="1"/>
  <c r="C156" i="3"/>
  <c r="B26" i="11" s="1"/>
  <c r="C160" i="3" l="1"/>
  <c r="D160" i="3" s="1"/>
  <c r="E160" i="3" s="1"/>
  <c r="F160" i="3" s="1"/>
  <c r="G160" i="3" s="1"/>
  <c r="H160" i="3" s="1"/>
  <c r="I160" i="3" s="1"/>
  <c r="J160" i="3" s="1"/>
  <c r="K160" i="3" s="1"/>
  <c r="L160" i="3" s="1"/>
  <c r="M160" i="3" s="1"/>
  <c r="N160" i="3" s="1"/>
  <c r="C154" i="3"/>
  <c r="B105" i="3"/>
  <c r="G107" i="3"/>
  <c r="E107" i="3"/>
  <c r="B107" i="3"/>
  <c r="K107" i="3"/>
  <c r="C107" i="3"/>
  <c r="D107" i="3"/>
  <c r="I107" i="3"/>
  <c r="B27" i="11"/>
  <c r="C155" i="3"/>
  <c r="L26" i="11"/>
  <c r="M26" i="11"/>
  <c r="K26" i="11"/>
  <c r="I26" i="11"/>
  <c r="D26" i="11"/>
  <c r="C26" i="11"/>
  <c r="H107" i="3"/>
  <c r="F26" i="11"/>
  <c r="J26" i="11"/>
  <c r="F107" i="3" l="1"/>
  <c r="J107" i="3"/>
  <c r="C30" i="5"/>
  <c r="C31" i="7"/>
  <c r="E31" i="7"/>
  <c r="G30" i="5"/>
  <c r="F31" i="7"/>
  <c r="E30" i="5"/>
  <c r="I31" i="7"/>
  <c r="K31" i="7"/>
  <c r="L31" i="7"/>
  <c r="D30" i="5"/>
  <c r="J31" i="7"/>
  <c r="F30" i="5"/>
  <c r="H30" i="5"/>
  <c r="I30" i="5"/>
  <c r="M31" i="7"/>
  <c r="B31" i="7"/>
  <c r="H31" i="7"/>
  <c r="J30" i="5"/>
  <c r="K30" i="5"/>
  <c r="D31" i="7"/>
  <c r="G31" i="7"/>
  <c r="D63" i="4"/>
  <c r="D109" i="3"/>
  <c r="D108" i="3" s="1"/>
  <c r="B109" i="3"/>
  <c r="B108" i="3" s="1"/>
  <c r="B63" i="4"/>
  <c r="G63" i="4"/>
  <c r="G109" i="3"/>
  <c r="G108" i="3" s="1"/>
  <c r="C106" i="3"/>
  <c r="C105" i="3" s="1"/>
  <c r="B111" i="3"/>
  <c r="I109" i="3"/>
  <c r="I108" i="3" s="1"/>
  <c r="I63" i="4"/>
  <c r="C109" i="3"/>
  <c r="C108" i="3" s="1"/>
  <c r="C63" i="4"/>
  <c r="E109" i="3"/>
  <c r="E108" i="3" s="1"/>
  <c r="E63" i="4"/>
  <c r="H63" i="4"/>
  <c r="H109" i="3"/>
  <c r="H108" i="3" s="1"/>
  <c r="K109" i="3"/>
  <c r="K108" i="3" s="1"/>
  <c r="K63" i="4"/>
  <c r="J63" i="4" l="1"/>
  <c r="J109" i="3"/>
  <c r="J108" i="3" s="1"/>
  <c r="F109" i="3"/>
  <c r="F108" i="3" s="1"/>
  <c r="F63" i="4"/>
  <c r="E31" i="5"/>
  <c r="E44" i="4"/>
  <c r="B32" i="7"/>
  <c r="B9" i="11"/>
  <c r="B30" i="5"/>
  <c r="B31" i="5" s="1"/>
  <c r="K9" i="11"/>
  <c r="K32" i="7"/>
  <c r="M32" i="7"/>
  <c r="M9" i="11"/>
  <c r="J32" i="7"/>
  <c r="J9" i="11"/>
  <c r="I32" i="7"/>
  <c r="I9" i="11"/>
  <c r="I31" i="5"/>
  <c r="I44" i="4"/>
  <c r="G9" i="11"/>
  <c r="G32" i="7"/>
  <c r="H31" i="5"/>
  <c r="H44" i="4"/>
  <c r="F32" i="7"/>
  <c r="F9" i="11"/>
  <c r="D32" i="7"/>
  <c r="D9" i="11"/>
  <c r="F31" i="5"/>
  <c r="F44" i="4"/>
  <c r="G31" i="5"/>
  <c r="G44" i="4"/>
  <c r="K31" i="5"/>
  <c r="K44" i="4"/>
  <c r="E32" i="7"/>
  <c r="E9" i="11"/>
  <c r="D44" i="4"/>
  <c r="D31" i="5"/>
  <c r="C32" i="7"/>
  <c r="C9" i="11"/>
  <c r="D106" i="3"/>
  <c r="D105" i="3" s="1"/>
  <c r="C111" i="3"/>
  <c r="J31" i="5"/>
  <c r="J44" i="4"/>
  <c r="H9" i="11"/>
  <c r="H32" i="7"/>
  <c r="L9" i="11"/>
  <c r="L32" i="7"/>
  <c r="C31" i="5"/>
  <c r="C44" i="4"/>
  <c r="K33" i="7" l="1"/>
  <c r="K14" i="11" s="1"/>
  <c r="K34" i="7"/>
  <c r="K6" i="11"/>
  <c r="G7" i="11"/>
  <c r="G12" i="11"/>
  <c r="J50" i="4"/>
  <c r="J42" i="4"/>
  <c r="E7" i="11"/>
  <c r="E12" i="11"/>
  <c r="I50" i="4"/>
  <c r="I42" i="4"/>
  <c r="J41" i="4"/>
  <c r="J32" i="5"/>
  <c r="J51" i="4" s="1"/>
  <c r="D33" i="7"/>
  <c r="D14" i="11" s="1"/>
  <c r="D6" i="11"/>
  <c r="F7" i="11"/>
  <c r="F12" i="11"/>
  <c r="B32" i="5"/>
  <c r="B33" i="5" s="1"/>
  <c r="B104" i="3" s="1"/>
  <c r="C41" i="4"/>
  <c r="C32" i="5"/>
  <c r="C51" i="4" s="1"/>
  <c r="K41" i="4"/>
  <c r="K32" i="5"/>
  <c r="K51" i="4" s="1"/>
  <c r="F33" i="7"/>
  <c r="F14" i="11" s="1"/>
  <c r="F6" i="11"/>
  <c r="I6" i="11"/>
  <c r="I33" i="7"/>
  <c r="I14" i="11" s="1"/>
  <c r="B12" i="11"/>
  <c r="B44" i="4"/>
  <c r="B42" i="4" s="1"/>
  <c r="B7" i="11"/>
  <c r="L33" i="7"/>
  <c r="L14" i="11" s="1"/>
  <c r="L6" i="11"/>
  <c r="C7" i="11"/>
  <c r="C12" i="11"/>
  <c r="G50" i="4"/>
  <c r="G42" i="4"/>
  <c r="H50" i="4"/>
  <c r="H42" i="4"/>
  <c r="J7" i="11"/>
  <c r="J12" i="11"/>
  <c r="B33" i="7"/>
  <c r="B14" i="11" s="1"/>
  <c r="B6" i="11"/>
  <c r="H12" i="11"/>
  <c r="H7" i="11"/>
  <c r="D42" i="4"/>
  <c r="D50" i="4"/>
  <c r="D7" i="11"/>
  <c r="D12" i="11"/>
  <c r="E6" i="11"/>
  <c r="E33" i="7"/>
  <c r="E14" i="11" s="1"/>
  <c r="E34" i="7"/>
  <c r="I41" i="4"/>
  <c r="I49" i="4" s="1"/>
  <c r="I32" i="5"/>
  <c r="I51" i="4" s="1"/>
  <c r="K12" i="11"/>
  <c r="K7" i="11"/>
  <c r="C50" i="4"/>
  <c r="C42" i="4"/>
  <c r="K42" i="4"/>
  <c r="K50" i="4"/>
  <c r="I12" i="11"/>
  <c r="I7" i="11"/>
  <c r="E106" i="3"/>
  <c r="E105" i="3" s="1"/>
  <c r="D111" i="3"/>
  <c r="L7" i="11"/>
  <c r="L12" i="11"/>
  <c r="C33" i="7"/>
  <c r="C14" i="11" s="1"/>
  <c r="C6" i="11"/>
  <c r="G41" i="4"/>
  <c r="G32" i="5"/>
  <c r="G51" i="4" s="1"/>
  <c r="H32" i="5"/>
  <c r="H51" i="4" s="1"/>
  <c r="H41" i="4"/>
  <c r="J6" i="11"/>
  <c r="J33" i="7"/>
  <c r="J14" i="11" s="1"/>
  <c r="F41" i="4"/>
  <c r="F32" i="5"/>
  <c r="F51" i="4" s="1"/>
  <c r="H6" i="11"/>
  <c r="H33" i="7"/>
  <c r="H14" i="11" s="1"/>
  <c r="D41" i="4"/>
  <c r="D32" i="5"/>
  <c r="D51" i="4" s="1"/>
  <c r="F42" i="4"/>
  <c r="F50" i="4"/>
  <c r="G33" i="7"/>
  <c r="G14" i="11" s="1"/>
  <c r="G6" i="11"/>
  <c r="M7" i="11"/>
  <c r="M12" i="11"/>
  <c r="E50" i="4"/>
  <c r="E42" i="4"/>
  <c r="M6" i="11"/>
  <c r="M33" i="7"/>
  <c r="M14" i="11" s="1"/>
  <c r="E41" i="4"/>
  <c r="E32" i="5"/>
  <c r="E51" i="4" s="1"/>
  <c r="C11" i="11" l="1"/>
  <c r="B34" i="7"/>
  <c r="E11" i="11"/>
  <c r="G33" i="5"/>
  <c r="G104" i="3" s="1"/>
  <c r="G103" i="3" s="1"/>
  <c r="G61" i="4" s="1"/>
  <c r="G64" i="4" s="1"/>
  <c r="J11" i="11"/>
  <c r="H33" i="5"/>
  <c r="H104" i="3" s="1"/>
  <c r="H103" i="3" s="1"/>
  <c r="H61" i="4" s="1"/>
  <c r="H64" i="4" s="1"/>
  <c r="D33" i="5"/>
  <c r="D104" i="3" s="1"/>
  <c r="D103" i="3" s="1"/>
  <c r="D61" i="4" s="1"/>
  <c r="D64" i="4" s="1"/>
  <c r="D65" i="4" s="1"/>
  <c r="J34" i="7"/>
  <c r="D49" i="4"/>
  <c r="D52" i="4" s="1"/>
  <c r="G11" i="11"/>
  <c r="H34" i="7"/>
  <c r="F11" i="11"/>
  <c r="E33" i="5"/>
  <c r="E104" i="3" s="1"/>
  <c r="E103" i="3" s="1"/>
  <c r="E61" i="4" s="1"/>
  <c r="E64" i="4" s="1"/>
  <c r="H49" i="4"/>
  <c r="H52" i="4" s="1"/>
  <c r="C33" i="5"/>
  <c r="C104" i="3" s="1"/>
  <c r="C103" i="3" s="1"/>
  <c r="C61" i="4" s="1"/>
  <c r="C64" i="4" s="1"/>
  <c r="J49" i="4"/>
  <c r="J52" i="4" s="1"/>
  <c r="H11" i="11"/>
  <c r="L11" i="11"/>
  <c r="K33" i="5"/>
  <c r="K104" i="3" s="1"/>
  <c r="K103" i="3" s="1"/>
  <c r="K61" i="4" s="1"/>
  <c r="K64" i="4" s="1"/>
  <c r="F49" i="4"/>
  <c r="F52" i="4" s="1"/>
  <c r="G49" i="4"/>
  <c r="G52" i="4" s="1"/>
  <c r="F106" i="3"/>
  <c r="F105" i="3" s="1"/>
  <c r="E111" i="3"/>
  <c r="L34" i="7"/>
  <c r="I11" i="11"/>
  <c r="C49" i="4"/>
  <c r="C52" i="4" s="1"/>
  <c r="D34" i="7"/>
  <c r="I33" i="5"/>
  <c r="I104" i="3" s="1"/>
  <c r="I103" i="3" s="1"/>
  <c r="I61" i="4" s="1"/>
  <c r="I64" i="4" s="1"/>
  <c r="F34" i="7"/>
  <c r="M34" i="7"/>
  <c r="J33" i="5"/>
  <c r="J104" i="3" s="1"/>
  <c r="J103" i="3" s="1"/>
  <c r="J61" i="4" s="1"/>
  <c r="J64" i="4" s="1"/>
  <c r="C34" i="7"/>
  <c r="E49" i="4"/>
  <c r="E52" i="4" s="1"/>
  <c r="G34" i="7"/>
  <c r="I52" i="4"/>
  <c r="C102" i="3"/>
  <c r="E13" i="11" s="1"/>
  <c r="E15" i="11" s="1"/>
  <c r="B103" i="3"/>
  <c r="D13" i="11"/>
  <c r="B50" i="4"/>
  <c r="K11" i="11"/>
  <c r="M11" i="11"/>
  <c r="F33" i="5"/>
  <c r="F104" i="3" s="1"/>
  <c r="F103" i="3" s="1"/>
  <c r="F61" i="4" s="1"/>
  <c r="F64" i="4" s="1"/>
  <c r="B41" i="4"/>
  <c r="B49" i="4" s="1"/>
  <c r="B11" i="11"/>
  <c r="K49" i="4"/>
  <c r="K52" i="4" s="1"/>
  <c r="B51" i="4"/>
  <c r="I34" i="7"/>
  <c r="D11" i="11"/>
  <c r="H65" i="4" l="1"/>
  <c r="G65" i="4"/>
  <c r="K65" i="4"/>
  <c r="G13" i="11"/>
  <c r="G15" i="11" s="1"/>
  <c r="G21" i="11" s="1"/>
  <c r="G27" i="11" s="1"/>
  <c r="C65" i="4"/>
  <c r="J65" i="4"/>
  <c r="J13" i="11"/>
  <c r="J15" i="11" s="1"/>
  <c r="J21" i="11" s="1"/>
  <c r="J27" i="11" s="1"/>
  <c r="H13" i="11"/>
  <c r="H15" i="11" s="1"/>
  <c r="K13" i="11"/>
  <c r="K15" i="11" s="1"/>
  <c r="I65" i="4"/>
  <c r="B13" i="11"/>
  <c r="B15" i="11"/>
  <c r="B28" i="11" s="1"/>
  <c r="B30" i="11" s="1"/>
  <c r="C29" i="11" s="1"/>
  <c r="F13" i="11"/>
  <c r="F15" i="11" s="1"/>
  <c r="F21" i="11" s="1"/>
  <c r="F27" i="11" s="1"/>
  <c r="I13" i="11"/>
  <c r="I15" i="11" s="1"/>
  <c r="D15" i="11"/>
  <c r="D21" i="11" s="1"/>
  <c r="D27" i="11" s="1"/>
  <c r="M13" i="11"/>
  <c r="M15" i="11" s="1"/>
  <c r="E65" i="4"/>
  <c r="E21" i="11"/>
  <c r="E27" i="11" s="1"/>
  <c r="M24" i="11"/>
  <c r="B100" i="3"/>
  <c r="B113" i="3" s="1"/>
  <c r="B61" i="4"/>
  <c r="B64" i="4" s="1"/>
  <c r="B52" i="4"/>
  <c r="F111" i="3"/>
  <c r="G106" i="3"/>
  <c r="G105" i="3" s="1"/>
  <c r="D102" i="3"/>
  <c r="C100" i="3"/>
  <c r="C113" i="3" s="1"/>
  <c r="L13" i="11"/>
  <c r="L15" i="11" s="1"/>
  <c r="C13" i="11"/>
  <c r="C15" i="11" s="1"/>
  <c r="F65" i="4"/>
  <c r="H21" i="11" l="1"/>
  <c r="H27" i="11" s="1"/>
  <c r="J28" i="11"/>
  <c r="G28" i="11"/>
  <c r="F28" i="11"/>
  <c r="I21" i="11"/>
  <c r="I27" i="11" s="1"/>
  <c r="M21" i="11"/>
  <c r="M27" i="11" s="1"/>
  <c r="M28" i="11" s="1"/>
  <c r="D28" i="11"/>
  <c r="E28" i="11"/>
  <c r="C21" i="11"/>
  <c r="C27" i="11" s="1"/>
  <c r="L21" i="11"/>
  <c r="L27" i="11" s="1"/>
  <c r="K21" i="11"/>
  <c r="K27" i="11" s="1"/>
  <c r="K28" i="11"/>
  <c r="B65" i="4"/>
  <c r="B67" i="4" s="1"/>
  <c r="D100" i="3"/>
  <c r="D113" i="3" s="1"/>
  <c r="E102" i="3"/>
  <c r="H106" i="3"/>
  <c r="H105" i="3" s="1"/>
  <c r="G111" i="3"/>
  <c r="H28" i="11" l="1"/>
  <c r="H111" i="3"/>
  <c r="I106" i="3"/>
  <c r="I105" i="3" s="1"/>
  <c r="L28" i="11"/>
  <c r="I28" i="11"/>
  <c r="C28" i="11"/>
  <c r="C30" i="11" s="1"/>
  <c r="D29" i="11" s="1"/>
  <c r="D30" i="11" s="1"/>
  <c r="E29" i="11" s="1"/>
  <c r="E30" i="11" s="1"/>
  <c r="F29" i="11" s="1"/>
  <c r="F30" i="11" s="1"/>
  <c r="G29" i="11" s="1"/>
  <c r="G30" i="11" s="1"/>
  <c r="H29" i="11" s="1"/>
  <c r="H30" i="11" s="1"/>
  <c r="I29" i="11" s="1"/>
  <c r="F102" i="3"/>
  <c r="E100" i="3"/>
  <c r="E113" i="3" s="1"/>
  <c r="C66" i="4"/>
  <c r="C67" i="4" s="1"/>
  <c r="B95" i="3"/>
  <c r="B94" i="3" s="1"/>
  <c r="B97" i="3" s="1"/>
  <c r="B115" i="3" s="1"/>
  <c r="D66" i="4" l="1"/>
  <c r="D67" i="4" s="1"/>
  <c r="C95" i="3"/>
  <c r="C94" i="3" s="1"/>
  <c r="C97" i="3" s="1"/>
  <c r="C115" i="3" s="1"/>
  <c r="I30" i="11"/>
  <c r="J29" i="11" s="1"/>
  <c r="J30" i="11" s="1"/>
  <c r="K29" i="11" s="1"/>
  <c r="K30" i="11" s="1"/>
  <c r="L29" i="11" s="1"/>
  <c r="L30" i="11"/>
  <c r="M29" i="11" s="1"/>
  <c r="M30" i="11" s="1"/>
  <c r="J106" i="3"/>
  <c r="J105" i="3" s="1"/>
  <c r="I111" i="3"/>
  <c r="G102" i="3"/>
  <c r="F100" i="3"/>
  <c r="F113" i="3" s="1"/>
  <c r="J111" i="3" l="1"/>
  <c r="K106" i="3"/>
  <c r="K105" i="3" s="1"/>
  <c r="K111" i="3" s="1"/>
  <c r="G100" i="3"/>
  <c r="G113" i="3" s="1"/>
  <c r="H102" i="3"/>
  <c r="D95" i="3"/>
  <c r="D94" i="3" s="1"/>
  <c r="D97" i="3" s="1"/>
  <c r="D115" i="3" s="1"/>
  <c r="E66" i="4"/>
  <c r="E67" i="4" s="1"/>
  <c r="E95" i="3" l="1"/>
  <c r="E94" i="3" s="1"/>
  <c r="E97" i="3" s="1"/>
  <c r="E115" i="3" s="1"/>
  <c r="F66" i="4"/>
  <c r="F67" i="4" s="1"/>
  <c r="I102" i="3"/>
  <c r="H100" i="3"/>
  <c r="H113" i="3" s="1"/>
  <c r="F95" i="3" l="1"/>
  <c r="F94" i="3" s="1"/>
  <c r="F97" i="3" s="1"/>
  <c r="F115" i="3" s="1"/>
  <c r="G66" i="4"/>
  <c r="G67" i="4" s="1"/>
  <c r="I100" i="3"/>
  <c r="I113" i="3" s="1"/>
  <c r="J102" i="3"/>
  <c r="J100" i="3" l="1"/>
  <c r="J113" i="3" s="1"/>
  <c r="K102" i="3"/>
  <c r="K100" i="3" s="1"/>
  <c r="K113" i="3" s="1"/>
  <c r="G95" i="3"/>
  <c r="G94" i="3" s="1"/>
  <c r="G97" i="3" s="1"/>
  <c r="G115" i="3" s="1"/>
  <c r="H66" i="4"/>
  <c r="H67" i="4" s="1"/>
  <c r="H95" i="3" l="1"/>
  <c r="H94" i="3" s="1"/>
  <c r="H97" i="3" s="1"/>
  <c r="H115" i="3" s="1"/>
  <c r="I66" i="4"/>
  <c r="I67" i="4" s="1"/>
  <c r="I95" i="3" l="1"/>
  <c r="I94" i="3" s="1"/>
  <c r="I97" i="3" s="1"/>
  <c r="I115" i="3" s="1"/>
  <c r="J66" i="4"/>
  <c r="J67" i="4" s="1"/>
  <c r="J95" i="3" l="1"/>
  <c r="J94" i="3" s="1"/>
  <c r="J97" i="3" s="1"/>
  <c r="J115" i="3" s="1"/>
  <c r="K66" i="4"/>
  <c r="K67" i="4" s="1"/>
  <c r="K95" i="3" s="1"/>
  <c r="K94" i="3" s="1"/>
  <c r="K97" i="3" s="1"/>
  <c r="K115" i="3" s="1"/>
</calcChain>
</file>

<file path=xl/sharedStrings.xml><?xml version="1.0" encoding="utf-8"?>
<sst xmlns="http://schemas.openxmlformats.org/spreadsheetml/2006/main" count="900" uniqueCount="367">
  <si>
    <t xml:space="preserve">Assumptions </t>
  </si>
  <si>
    <t>1. Business Valuations</t>
  </si>
  <si>
    <t>2. Financial Planning &amp; Analysis (FP&amp;A) and Budgeting</t>
  </si>
  <si>
    <t>3. Strategic Financial Advisory</t>
  </si>
  <si>
    <t>Rate per Hour</t>
  </si>
  <si>
    <t>Cloud Accounting Services</t>
  </si>
  <si>
    <t>Complexity of the Client's business</t>
  </si>
  <si>
    <t xml:space="preserve">Turnaround time </t>
  </si>
  <si>
    <t>The fee is dependent on the following factors:</t>
  </si>
  <si>
    <t>Service fees fall within the range of R1500 and R4500 per hour.</t>
  </si>
  <si>
    <t>Experience</t>
  </si>
  <si>
    <t>An average rate between R1500 and R4500 is therefore used for the purposes of projecting revenue under this particular service.</t>
  </si>
  <si>
    <t>Service fees fall within the range of R600 and R1500 per hour.</t>
  </si>
  <si>
    <t>4. Bookkeeping &amp; Reporting: Real-time, accurate record-keeping and management reports accessible from anywhere.</t>
  </si>
  <si>
    <t>5. Annual Financial Statements: Preparation and review of statutory financial statements in compliance with regulatory standards.</t>
  </si>
  <si>
    <t>An average rate between R300 and R1500 is therefore used for the purposes of projecting revenue under this particular service.</t>
  </si>
  <si>
    <t>An average rate between R200 and R900 is therefore used for the purposes of projecting revenue under this particular service.</t>
  </si>
  <si>
    <t>This fee will include administration fees for payments to third parties of R35 per payslip.</t>
  </si>
  <si>
    <t>Service fees fall within the range of R50 and R150 per payslip excluding the administration fee.</t>
  </si>
  <si>
    <t>Employee size</t>
  </si>
  <si>
    <t>Complexity of employer and employee contributions.</t>
  </si>
  <si>
    <t>Different state taxes</t>
  </si>
  <si>
    <t>An average rate between R85 and R185 per payslip will be applied for the purposes of projecting revenue under this particular service.</t>
  </si>
  <si>
    <t>Rate Per Pay Slip</t>
  </si>
  <si>
    <t>6. Payroll Services: End-to-end payroll processing, including payslips, tax calculations, and statutory submissions.</t>
  </si>
  <si>
    <t>7. Corporate Tax Services: Corporate income tax computation, submission, and compliance management.</t>
  </si>
  <si>
    <t>An average rate between R900 and R1600 is therefore used for the purposes of projecting revenue under this particular service.</t>
  </si>
  <si>
    <t>An average rate between R800 and R1200 is therefore used for the purposes of projecting revenue under this particular service.</t>
  </si>
  <si>
    <t>Payroll</t>
  </si>
  <si>
    <t>VAT</t>
  </si>
  <si>
    <t>Revenue</t>
  </si>
  <si>
    <t>Types of Clients</t>
  </si>
  <si>
    <t xml:space="preserve">Start-Ups (These clients include small business with less than 30 employees and less than 100 transactions per day) </t>
  </si>
  <si>
    <t>Established Businesses (These clients include medium to large enterprises with more than 50 employees and more than 500 transactions per day)</t>
  </si>
  <si>
    <t>We will be required to spend 12 - 72 hours per client per month, depending on the scope of work.</t>
  </si>
  <si>
    <t>We will be required to spend 40 - 120 hours per client per month, depending on the scope of work.</t>
  </si>
  <si>
    <t>We will be required to spend 72 - 180 hours per client per month, depending on the scope of work.</t>
  </si>
  <si>
    <t>Discounts</t>
  </si>
  <si>
    <t>Start-Up package (Includes all services listed above for start-up clients)</t>
  </si>
  <si>
    <t>Rising Package (Includes all services listed above for clients that scaling and growing their businesses)</t>
  </si>
  <si>
    <t>Established (Includes all services listed above for medium sized clients that scaling and growing their businesses)</t>
  </si>
  <si>
    <t>Fundraising preparation package (Preparation of documents required for funding for businesses who are trying to acquire funds)</t>
  </si>
  <si>
    <t>We offer a 5% discount package for clients who want full board services.</t>
  </si>
  <si>
    <t>Average hours required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</si>
  <si>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</si>
  <si>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</si>
  <si>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</si>
  <si>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</si>
  <si>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</si>
  <si>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</si>
  <si>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</si>
  <si>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</si>
  <si>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</si>
  <si>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</si>
  <si>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</si>
  <si>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</si>
  <si>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8. VAT Registrations, Reconciliations &amp; Submissions: End-to-end VAT services, ensuring clients remain compliant while minimising tax burdens.</t>
  </si>
  <si>
    <t>9. Automation tools &amp; Integration services</t>
  </si>
  <si>
    <t>Expenses</t>
  </si>
  <si>
    <t>Rent Expense</t>
  </si>
  <si>
    <t>Will increase every year based on company growth as well as inflation.</t>
  </si>
  <si>
    <t>Payroll expenses</t>
  </si>
  <si>
    <t>Will increase as the number clients increase because the company will require more resources.</t>
  </si>
  <si>
    <t>Projected Income Statement (Best Case Scenario)</t>
  </si>
  <si>
    <t>10 Years Income Statement</t>
  </si>
  <si>
    <t xml:space="preserve">Projections </t>
  </si>
  <si>
    <t>2026 Monthly Income Statement</t>
  </si>
  <si>
    <t>Projected Monthly Income Statement (Best Case Scenario)</t>
  </si>
  <si>
    <t>Cost of sales</t>
  </si>
  <si>
    <t>Gross Profit</t>
  </si>
  <si>
    <t>Operating Expenses</t>
  </si>
  <si>
    <t>Subscription Costs</t>
  </si>
  <si>
    <t>Salaries</t>
  </si>
  <si>
    <t>Membership Fees</t>
  </si>
  <si>
    <t>Rental expenses</t>
  </si>
  <si>
    <t>Telephone and WiFi</t>
  </si>
  <si>
    <t xml:space="preserve">Insurance </t>
  </si>
  <si>
    <t>Utilities</t>
  </si>
  <si>
    <t>Bank Charges</t>
  </si>
  <si>
    <t>Administration and IT related expenses</t>
  </si>
  <si>
    <t>Operating Profit</t>
  </si>
  <si>
    <t>Finance Costs</t>
  </si>
  <si>
    <t>Profit Before Tax</t>
  </si>
  <si>
    <t>Tax</t>
  </si>
  <si>
    <t>Profit After Tax</t>
  </si>
  <si>
    <t>Projected Income Statement (Worst Case Scenario)</t>
  </si>
  <si>
    <t>Projected Monthly Income Statement (Worst Case Scenario)</t>
  </si>
  <si>
    <t>Marketing Expenses</t>
  </si>
  <si>
    <t>Stationery</t>
  </si>
  <si>
    <t>4. Bookkeeping &amp; Reporting</t>
  </si>
  <si>
    <t>5. Annual Financial Statements</t>
  </si>
  <si>
    <t>6. Payroll Services</t>
  </si>
  <si>
    <t>7. Corporate Tax Services</t>
  </si>
  <si>
    <t>8. VAT Registrations, Reconciliations &amp; Submissions</t>
  </si>
  <si>
    <t>Revenue is calculated based on the number of daily inquries we receive from potential clients visiting our website.</t>
  </si>
  <si>
    <t>Average Number of daily inquiries per day</t>
  </si>
  <si>
    <t>We expect to secure 75% of clients from the daily inquiries</t>
  </si>
  <si>
    <t>Of the 75% clients we secure, this is the catefory they fall into</t>
  </si>
  <si>
    <t xml:space="preserve">Startups </t>
  </si>
  <si>
    <t>Established</t>
  </si>
  <si>
    <t>Scaling</t>
  </si>
  <si>
    <t>To simplify the financial model, we used an average rate</t>
  </si>
  <si>
    <t>Inquiries secured per month</t>
  </si>
  <si>
    <t>Startups</t>
  </si>
  <si>
    <t>Total expected clients</t>
  </si>
  <si>
    <t>Clients Secured</t>
  </si>
  <si>
    <t>Best case</t>
  </si>
  <si>
    <t>Worst case</t>
  </si>
  <si>
    <t>Type of service</t>
  </si>
  <si>
    <t>10. Full board service</t>
  </si>
  <si>
    <t>Total</t>
  </si>
  <si>
    <t>Total Hours required - Best Case Scenario</t>
  </si>
  <si>
    <t>Scaling Businesses (These clients include small to medium enterprises with more than 30 employees and less than 1000 transactions per day)</t>
  </si>
  <si>
    <t>Business Valuations</t>
  </si>
  <si>
    <t>Table of content</t>
  </si>
  <si>
    <t>SOPL (Best Case Scenario)</t>
  </si>
  <si>
    <t>2026 SOPL (Best Case Scenario)</t>
  </si>
  <si>
    <t>SOPL (Worst Case Scenario)</t>
  </si>
  <si>
    <t>2026 SOPL Worst Case Scenario)</t>
  </si>
  <si>
    <t>Projected BS</t>
  </si>
  <si>
    <t>Projected CFS</t>
  </si>
  <si>
    <t>Financial Planning &amp; Analysis (FP&amp;A) and Budgeting</t>
  </si>
  <si>
    <t xml:space="preserve"> Strategic Financial Advisory</t>
  </si>
  <si>
    <t xml:space="preserve">Total </t>
  </si>
  <si>
    <t>Bookkeeping &amp; Reporting</t>
  </si>
  <si>
    <t>Annual Financial Statements</t>
  </si>
  <si>
    <t>Corporate Taxes</t>
  </si>
  <si>
    <t>Bundled packages</t>
  </si>
  <si>
    <t>Total hours required - Worst Case Scenario</t>
  </si>
  <si>
    <t>Totals - Best Case</t>
  </si>
  <si>
    <t>Totals - Worst Case</t>
  </si>
  <si>
    <r>
      <t>Refer to the "</t>
    </r>
    <r>
      <rPr>
        <b/>
        <sz val="12"/>
        <color rgb="FFFF0000"/>
        <rFont val="Calibri"/>
        <family val="2"/>
      </rPr>
      <t>Clients secured tab</t>
    </r>
    <r>
      <rPr>
        <sz val="12"/>
        <color theme="1"/>
        <rFont val="Calibri"/>
        <family val="2"/>
      </rPr>
      <t>" for further breakdown</t>
    </r>
  </si>
  <si>
    <t>Days per month 2026 - Best Case</t>
  </si>
  <si>
    <t>Days per month 2026 - Worst Case</t>
  </si>
  <si>
    <t>days</t>
  </si>
  <si>
    <t>Individual salaries will increase by 10% annually.</t>
  </si>
  <si>
    <t>Subscriptions</t>
  </si>
  <si>
    <t>Microsoft Office for business</t>
  </si>
  <si>
    <t>Google Workspace</t>
  </si>
  <si>
    <t>Quickbooks Online</t>
  </si>
  <si>
    <t>Payspot (By Deel)</t>
  </si>
  <si>
    <t>Zoho</t>
  </si>
  <si>
    <t>Antivirus</t>
  </si>
  <si>
    <t>VPN (security)</t>
  </si>
  <si>
    <t>Udemy (Skills development)</t>
  </si>
  <si>
    <t>Docusign (For client to sign Engagement Letters)</t>
  </si>
  <si>
    <t xml:space="preserve">Enterprise Web Hosting </t>
  </si>
  <si>
    <t xml:space="preserve">Domain Registration </t>
  </si>
  <si>
    <t>Branding of Stationery for employees</t>
  </si>
  <si>
    <t>Membership fees</t>
  </si>
  <si>
    <t>SAICA</t>
  </si>
  <si>
    <t>SAIPA</t>
  </si>
  <si>
    <t>Most clients have a headcount of between 10 to 100, therefore we have used an average headcount to arrive at revenue from payroll services.</t>
  </si>
  <si>
    <t>To get the revenue per client, we used the average headcount and multiplied it by the cost per payslip</t>
  </si>
  <si>
    <t>**It is assumed that revenue will increase by 15% annually to reflect inflationary increases as well the as the increase in clients</t>
  </si>
  <si>
    <t>Telephone &amp; WiFi</t>
  </si>
  <si>
    <t>Business Insurance</t>
  </si>
  <si>
    <t>We anticipate that business insurance will be a 0,5% of rental paid</t>
  </si>
  <si>
    <t>Costs will increase by inflation annually.</t>
  </si>
  <si>
    <t>Annexure C - SNA HR Plan</t>
  </si>
  <si>
    <t>Total payroll for the year</t>
  </si>
  <si>
    <t>Per month</t>
  </si>
  <si>
    <t>Practice registration with SAICA and SAIPA</t>
  </si>
  <si>
    <t>Best Case Scenario</t>
  </si>
  <si>
    <t>Worst Case Scenario</t>
  </si>
  <si>
    <t>Business Times News subscription</t>
  </si>
  <si>
    <t xml:space="preserve">Bloomberg News subscription </t>
  </si>
  <si>
    <t>Enterprise VPN usually costs anything between R 142 and R 320</t>
  </si>
  <si>
    <t>Number of users</t>
  </si>
  <si>
    <t>We assume that utilities will be 10% of the Rental expense.</t>
  </si>
  <si>
    <t>Admininstration &amp; IT related expenses</t>
  </si>
  <si>
    <t>Average hours for Automation per client</t>
  </si>
  <si>
    <t>We assume that it will take 3 hours to set up and each clients system per month.</t>
  </si>
  <si>
    <t>Assets</t>
  </si>
  <si>
    <t>Fixed assets</t>
  </si>
  <si>
    <t>Land and Buildings</t>
  </si>
  <si>
    <t>Laptops and accessories</t>
  </si>
  <si>
    <t>Furinture and fittings</t>
  </si>
  <si>
    <t>Current assets</t>
  </si>
  <si>
    <t>Bank</t>
  </si>
  <si>
    <t>Total assets</t>
  </si>
  <si>
    <t>Equities and Liabilities</t>
  </si>
  <si>
    <t>Capital and reserves</t>
  </si>
  <si>
    <t>Equity</t>
  </si>
  <si>
    <t>Retained Earnings</t>
  </si>
  <si>
    <t>Profit for the year</t>
  </si>
  <si>
    <t>Non-current liabilities</t>
  </si>
  <si>
    <t>Loan</t>
  </si>
  <si>
    <t>Current portion of loan</t>
  </si>
  <si>
    <t>Current liabilities</t>
  </si>
  <si>
    <t>Other current liabilities</t>
  </si>
  <si>
    <t>Total liabilitties</t>
  </si>
  <si>
    <t>Total equities and liabilites</t>
  </si>
  <si>
    <t>Test</t>
  </si>
  <si>
    <t>Notes to Balance sheet</t>
  </si>
  <si>
    <t>10 Year Balance sheet</t>
  </si>
  <si>
    <t>Cashflow Statement</t>
  </si>
  <si>
    <t>Cashflows from Operating activities</t>
  </si>
  <si>
    <t>Net profit before taxation</t>
  </si>
  <si>
    <t>Adjustments for:</t>
  </si>
  <si>
    <t>Depreciation, amortisation</t>
  </si>
  <si>
    <t>Interest paid</t>
  </si>
  <si>
    <t>Interest received</t>
  </si>
  <si>
    <t>(Increase)/Decrease in debtors</t>
  </si>
  <si>
    <t>Increase/(Decrease) in current liabilities</t>
  </si>
  <si>
    <t>(Increase)/Decrease in stock</t>
  </si>
  <si>
    <t>Cash generated from Operating activities</t>
  </si>
  <si>
    <t>Dividends paid</t>
  </si>
  <si>
    <t>Income taxes paid</t>
  </si>
  <si>
    <t>Net cash from Operating activities</t>
  </si>
  <si>
    <t>Cashflows from Investing activities</t>
  </si>
  <si>
    <t>Investment in laptops and accessories</t>
  </si>
  <si>
    <t>Net cash from Investing activities</t>
  </si>
  <si>
    <t>Cashflows from Financing activities</t>
  </si>
  <si>
    <t>Proceeds on issue of shares</t>
  </si>
  <si>
    <t>Proceeds from Long-term loan</t>
  </si>
  <si>
    <t>Long-term loan payments</t>
  </si>
  <si>
    <t>Net change in cash</t>
  </si>
  <si>
    <t>Cash and equivalent at beginning of period</t>
  </si>
  <si>
    <t>Cash and equivalent at end of period</t>
  </si>
  <si>
    <t>Projected Balance Sheet</t>
  </si>
  <si>
    <t>Marketing Expenses &amp; SEO Services</t>
  </si>
  <si>
    <t>Per year</t>
  </si>
  <si>
    <t>Per Year</t>
  </si>
  <si>
    <t>Projected Balance Sheet Best and Worst Case</t>
  </si>
  <si>
    <t xml:space="preserve">Projected Balance Sheet (Best Case) </t>
  </si>
  <si>
    <t>Projected Cashflow Statement Best and Worst Case</t>
  </si>
  <si>
    <t>Projected Cashflow Statement (Best Case)</t>
  </si>
  <si>
    <t>Projected Cashflow Statement (Worst Case)</t>
  </si>
  <si>
    <t>Projected Cashflow Statement</t>
  </si>
  <si>
    <t>2026 Projected Cashflow Statement (Best Case)</t>
  </si>
  <si>
    <t>2026 Projected Cashflow Statement</t>
  </si>
  <si>
    <t>2026 Projected Cashflow Statement (Worst Case)</t>
  </si>
  <si>
    <t>Legend</t>
  </si>
  <si>
    <t>Per Year (Y0)</t>
  </si>
  <si>
    <t>q</t>
  </si>
  <si>
    <t>Expenditure</t>
  </si>
  <si>
    <t>p</t>
  </si>
  <si>
    <t>Add back depreciation &amp; Amortisation</t>
  </si>
  <si>
    <t>Operating Surplus</t>
  </si>
  <si>
    <t>Capital outlay</t>
  </si>
  <si>
    <t>d</t>
  </si>
  <si>
    <t>Taxation</t>
  </si>
  <si>
    <t>Net Cash Flow</t>
  </si>
  <si>
    <t>c</t>
  </si>
  <si>
    <t xml:space="preserve">Remaining tax benefit </t>
  </si>
  <si>
    <t>Wealth creation</t>
  </si>
  <si>
    <t>Investment</t>
  </si>
  <si>
    <t xml:space="preserve">This is an estimate of the capital, i.e. share capital required to achieve this vision. </t>
  </si>
  <si>
    <t>Investment multiplier</t>
  </si>
  <si>
    <t>Tax Calculation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</si>
  <si>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</si>
  <si>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</si>
  <si>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</si>
  <si>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</si>
  <si>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</si>
  <si>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</si>
  <si>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</si>
  <si>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</si>
  <si>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</si>
  <si>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</si>
  <si>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Profit before tax</t>
  </si>
  <si>
    <t>Capital allowance - s11(e) (depreciated over 5 years)</t>
  </si>
  <si>
    <t>Taxable income</t>
  </si>
  <si>
    <t>Tax @ 27%</t>
  </si>
  <si>
    <t xml:space="preserve">PROJECT: PERFORMANCE </t>
  </si>
  <si>
    <t>Best Case</t>
  </si>
  <si>
    <t>Worst Case</t>
  </si>
  <si>
    <t xml:space="preserve">Projected Balance Sheet (Worst Case) </t>
  </si>
  <si>
    <t>Depreciation</t>
  </si>
  <si>
    <t xml:space="preserve">Cost </t>
  </si>
  <si>
    <t>Straight line over 10 years</t>
  </si>
  <si>
    <t>We purchased our own land building on 1 April  of 2027</t>
  </si>
  <si>
    <t>Intangible Assets</t>
  </si>
  <si>
    <t xml:space="preserve">Brand </t>
  </si>
  <si>
    <t>1.</t>
  </si>
  <si>
    <t>2.</t>
  </si>
  <si>
    <t>3.</t>
  </si>
  <si>
    <t>Laptops and Accessories</t>
  </si>
  <si>
    <t>Cost</t>
  </si>
  <si>
    <t>Straight line over 5 years</t>
  </si>
  <si>
    <t>Once off</t>
  </si>
  <si>
    <t xml:space="preserve">Advertising </t>
  </si>
  <si>
    <t>Yearly Appreciation</t>
  </si>
  <si>
    <t>Intangible assets: Website &amp; Brand</t>
  </si>
  <si>
    <t>4.</t>
  </si>
  <si>
    <t>Furniture &amp; Fittings</t>
  </si>
  <si>
    <t>Intangible assets: Brand &amp; Website</t>
  </si>
  <si>
    <t xml:space="preserve">5. </t>
  </si>
  <si>
    <t>Amount</t>
  </si>
  <si>
    <t>Interest payment per month</t>
  </si>
  <si>
    <t>Payment per month</t>
  </si>
  <si>
    <t>Capital payment</t>
  </si>
  <si>
    <t>FV</t>
  </si>
  <si>
    <t>Loan Balance at month end</t>
  </si>
  <si>
    <t>Effective rate</t>
  </si>
  <si>
    <t>Compouned monthly</t>
  </si>
  <si>
    <t>Term (Years)</t>
  </si>
  <si>
    <t>Nominal Interest Rate</t>
  </si>
  <si>
    <t>Investment in intangible assets &amp; Company Brand</t>
  </si>
  <si>
    <t>Investment in Land &amp; Buildings</t>
  </si>
  <si>
    <t>Net cash used in Financing activities</t>
  </si>
  <si>
    <t>Investment in Furniture</t>
  </si>
  <si>
    <t>Dividends</t>
  </si>
  <si>
    <t>Ordinary Share Capital</t>
  </si>
  <si>
    <t>Tab Colour</t>
  </si>
  <si>
    <t>WIP</t>
  </si>
  <si>
    <t>Tab 1</t>
  </si>
  <si>
    <t>Tab 2</t>
  </si>
  <si>
    <t>Tab 3</t>
  </si>
  <si>
    <t>Tab 4</t>
  </si>
  <si>
    <t>Tab 5</t>
  </si>
  <si>
    <t>Tab 6</t>
  </si>
  <si>
    <t>Tab 7</t>
  </si>
  <si>
    <t>Tab 8</t>
  </si>
  <si>
    <t>Tab 9</t>
  </si>
  <si>
    <t>2026 CFS (Best Case)</t>
  </si>
  <si>
    <t>2026 CFS (Worst Case)</t>
  </si>
  <si>
    <t>Tab 10</t>
  </si>
  <si>
    <t>Tab 11</t>
  </si>
  <si>
    <t>Tab 12</t>
  </si>
  <si>
    <t>NPV Calculation (Best Case)</t>
  </si>
  <si>
    <t>NPV Calculation (Worst)</t>
  </si>
  <si>
    <t>Learnership Allowance - S12H</t>
  </si>
  <si>
    <t>y</t>
  </si>
  <si>
    <r>
      <t>Capital outlay includes all costs associated with establishing the company. (</t>
    </r>
    <r>
      <rPr>
        <i/>
        <sz val="12"/>
        <rFont val="Calibri (Body)"/>
      </rPr>
      <t>Refer to</t>
    </r>
    <r>
      <rPr>
        <b/>
        <i/>
        <sz val="12"/>
        <color rgb="FFFF0000"/>
        <rFont val="Calibri (Body)"/>
      </rPr>
      <t xml:space="preserve"> Annexure A – Capital Requirements </t>
    </r>
    <r>
      <rPr>
        <i/>
        <sz val="12"/>
        <rFont val="Calibri (Body)"/>
      </rPr>
      <t>for</t>
    </r>
    <r>
      <rPr>
        <b/>
        <i/>
        <sz val="12"/>
        <color rgb="FFFF0000"/>
        <rFont val="Calibri (Body)"/>
      </rPr>
      <t xml:space="preserve"> </t>
    </r>
    <r>
      <rPr>
        <i/>
        <sz val="12"/>
        <color theme="1"/>
        <rFont val="Aptos Narrow"/>
        <family val="2"/>
        <scheme val="minor"/>
      </rPr>
      <t>break down of costs.)</t>
    </r>
  </si>
  <si>
    <r>
      <t>Expenditure was taken as it is in the Projected Income statement.</t>
    </r>
    <r>
      <rPr>
        <i/>
        <sz val="12"/>
        <rFont val="Aptos Narrow (Body)"/>
      </rPr>
      <t xml:space="preserve">(Refer to </t>
    </r>
    <r>
      <rPr>
        <b/>
        <i/>
        <sz val="12"/>
        <color rgb="FFFF0000"/>
        <rFont val="Aptos Narrow (Body)"/>
      </rPr>
      <t>SOPL (Best Case Scenario) tab</t>
    </r>
    <r>
      <rPr>
        <i/>
        <sz val="12"/>
        <color theme="1"/>
        <rFont val="Aptos Narrow"/>
        <family val="2"/>
        <scheme val="minor"/>
      </rPr>
      <t>.)</t>
    </r>
  </si>
  <si>
    <r>
      <t>Revenue was taken as it is in the Projected Income statement.</t>
    </r>
    <r>
      <rPr>
        <i/>
        <sz val="12"/>
        <rFont val="Aptos Narrow"/>
        <family val="2"/>
        <scheme val="minor"/>
      </rPr>
      <t xml:space="preserve"> (</t>
    </r>
    <r>
      <rPr>
        <i/>
        <sz val="12"/>
        <rFont val="Calibri (Body)"/>
      </rPr>
      <t>Refer to</t>
    </r>
    <r>
      <rPr>
        <b/>
        <i/>
        <sz val="12"/>
        <color rgb="FFFF0000"/>
        <rFont val="Calibri (Body)"/>
      </rPr>
      <t xml:space="preserve"> SOPL (Best Case Scenario) tab.</t>
    </r>
    <r>
      <rPr>
        <i/>
        <sz val="12"/>
        <color theme="1"/>
        <rFont val="Aptos Narrow"/>
        <family val="2"/>
        <scheme val="minor"/>
      </rPr>
      <t>)</t>
    </r>
  </si>
  <si>
    <r>
      <t xml:space="preserve">We expect to employ 98 trainees to increase by 15% every year (Refer to </t>
    </r>
    <r>
      <rPr>
        <b/>
        <i/>
        <sz val="12"/>
        <color rgb="FFFF0000"/>
        <rFont val="Aptos Narrow (Body)"/>
      </rPr>
      <t>Annexure C - HR Plan</t>
    </r>
    <r>
      <rPr>
        <i/>
        <sz val="12"/>
        <color theme="1"/>
        <rFont val="Aptos Narrow"/>
        <family val="2"/>
        <scheme val="minor"/>
      </rPr>
      <t>)</t>
    </r>
  </si>
  <si>
    <t>Capital allowance - s13 Quin (@ 5% per year)</t>
  </si>
  <si>
    <r>
      <t>Revenue was taken as it is in the Projected Income statement.</t>
    </r>
    <r>
      <rPr>
        <i/>
        <sz val="12"/>
        <rFont val="Aptos Narrow"/>
        <family val="2"/>
        <scheme val="minor"/>
      </rPr>
      <t xml:space="preserve"> (</t>
    </r>
    <r>
      <rPr>
        <i/>
        <sz val="12"/>
        <rFont val="Calibri (Body)"/>
      </rPr>
      <t>Refer to</t>
    </r>
    <r>
      <rPr>
        <b/>
        <i/>
        <sz val="12"/>
        <color rgb="FFFF0000"/>
        <rFont val="Calibri (Body)"/>
      </rPr>
      <t xml:space="preserve"> SOPL (Worst Case Scenario) tab.</t>
    </r>
    <r>
      <rPr>
        <i/>
        <sz val="12"/>
        <color theme="1"/>
        <rFont val="Aptos Narrow"/>
        <family val="2"/>
        <scheme val="minor"/>
      </rPr>
      <t>)</t>
    </r>
  </si>
  <si>
    <r>
      <t>Expenditure was taken as it is in the Projected Income statement.</t>
    </r>
    <r>
      <rPr>
        <i/>
        <sz val="12"/>
        <rFont val="Aptos Narrow (Body)"/>
      </rPr>
      <t xml:space="preserve">(Refer to </t>
    </r>
    <r>
      <rPr>
        <b/>
        <i/>
        <sz val="12"/>
        <color rgb="FFFF0000"/>
        <rFont val="Aptos Narrow (Body)"/>
      </rPr>
      <t>SOPL (Worst Case Scenario) tab</t>
    </r>
    <r>
      <rPr>
        <i/>
        <sz val="12"/>
        <color theme="1"/>
        <rFont val="Aptos Narrow"/>
        <family val="2"/>
        <scheme val="minor"/>
      </rPr>
      <t>.)</t>
    </r>
  </si>
  <si>
    <t>Learnership Allowance (Completion) - S12H</t>
  </si>
  <si>
    <t>Terminal Value @ 12,3% Return and escalation rate of 10%.</t>
  </si>
  <si>
    <t>Assumed expected return on capital to be 12,3% by adjusting the WACC of 8,3% for risks associated with this specific industry.</t>
  </si>
  <si>
    <t>Completed</t>
  </si>
  <si>
    <t>10. Legal and advisory services</t>
  </si>
  <si>
    <t>Buisness advisory</t>
  </si>
  <si>
    <t>Company Registration and searches</t>
  </si>
  <si>
    <t>Trade mark registration and searches</t>
  </si>
  <si>
    <t>Advertising standards and legal advice</t>
  </si>
  <si>
    <t>Consumer Protection Advice</t>
  </si>
  <si>
    <t>Will drafting and Trust registration</t>
  </si>
  <si>
    <t>Add market rate</t>
  </si>
  <si>
    <t>Partnerships secured</t>
  </si>
  <si>
    <t xml:space="preserve">Masego ka Mapule trademark </t>
  </si>
  <si>
    <t>Brands under MMK umbrella</t>
  </si>
  <si>
    <t>Added value - SAICA Association</t>
  </si>
  <si>
    <t>Added value - Qualifications</t>
  </si>
  <si>
    <t>Tab 13</t>
  </si>
  <si>
    <t>Tab 14</t>
  </si>
  <si>
    <t>Tab 15</t>
  </si>
  <si>
    <t>Masego ka Mapule is a trademark that is in the process of being registered</t>
  </si>
  <si>
    <t>It's a brand that will generate revenue through establishing partnerships with existing brands.</t>
  </si>
  <si>
    <t>Masego ka Mapule will also collaborate with African designers (both established and upcoming) to releash high-end designer fashion, leather goods, time pieces and art.</t>
  </si>
  <si>
    <t>The trademark will be held under Sakhile Nathi Group which is the parent company of all subsidiaries.</t>
  </si>
  <si>
    <t>Sakhile Nathi Group will be held by the Masego Koape trust at 98%, the Ratsheko Koape Family trust at 1% and the Themba Mngadi Family Trust at 1%.</t>
  </si>
  <si>
    <t>Membership Income</t>
  </si>
  <si>
    <t>Tab 16</t>
  </si>
  <si>
    <t>Revenue from the brand will be generated through the following vehicles:</t>
  </si>
  <si>
    <t>1. Potential Partnerships</t>
  </si>
  <si>
    <t>2. Collaborations with Brands under MMK</t>
  </si>
  <si>
    <t>People can join the Masego ka Mapule membership club which gives them exclusive access to a plathora of activities, exclusive content and a network of like minded individuals.</t>
  </si>
  <si>
    <t>3. Membership income @ R1599.99 per month</t>
  </si>
  <si>
    <t>4. Rental income from Brands under MMK</t>
  </si>
  <si>
    <t>Masego ka Mapule will have own a precinct building that will house all brands under its umbrella.</t>
  </si>
  <si>
    <t>The precinct will also house a boutique wine store and cellar and  an art gallery.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</si>
</sst>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R&quot;#,##0_);[Red]\(&quot;R&quot;#,##0\)"/>
    <numFmt numFmtId="8" formatCode="&quot;R&quot;#,##0.00_);[Red]\(&quot;R&quot;#,##0.00\)"/>
    <numFmt numFmtId="44" formatCode="_(&quot;R&quot;* #,##0.00_);_(&quot;R&quot;* \(#,##0.00\);_(&quot;R&quot;* &quot;-&quot;??_);_(@_)"/>
    <numFmt numFmtId="43" formatCode="_(* #,##0.00_);_(* \(#,##0.00\);_(* &quot;-&quot;??_);_(@_)"/>
    <numFmt numFmtId="164" formatCode="_(&quot;R&quot;* #,##0_);_(&quot;R&quot;* \(#,##0\);_(&quot;R&quot;* &quot;-&quot;??_);_(@_)"/>
    <numFmt numFmtId="165" formatCode="0.0"/>
    <numFmt numFmtId="166" formatCode="_ * #,##0.00_ ;_ * \-#,##0.00_ ;_ * &quot;-&quot;??_ ;_ @_ "/>
    <numFmt numFmtId="167" formatCode="_ * #,##0_ ;_ * \-#,##0_ ;_ * &quot;-&quot;??_ ;_ @_ "/>
    <numFmt numFmtId="168" formatCode="&quot;R&quot;\ #,##0;[Red]&quot;R&quot;\ \-#,##0"/>
    <numFmt numFmtId="169" formatCode="&quot;R&quot;\ #,##0.00;[Red]&quot;R&quot;\ \-#,##0.00"/>
    <numFmt numFmtId="170" formatCode="0.0000000000000"/>
    <numFmt numFmtId="171" formatCode="_(&quot;R&quot;* #,##0.00000000_);_(&quot;R&quot;* \(#,##0.00000000\);_(&quot;R&quot;* &quot;-&quot;??_);_(@_)"/>
    <numFmt numFmtId="172" formatCode="_(&quot;R&quot;* #,##0.0000000000000_);_(&quot;R&quot;* \(#,##0.0000000000000\);_(&quot;R&quot;* &quot;-&quot;??_);_(@_)"/>
    <numFmt numFmtId="173" formatCode="_(&quot;R&quot;* #,##0.0000000000000000_);_(&quot;R&quot;* \(#,##0.0000000000000000\);_(&quot;R&quot;* &quot;-&quot;??_);_(@_)"/>
    <numFmt numFmtId="174" formatCode="0.0000000"/>
    <numFmt numFmtId="175" formatCode="0.00000"/>
    <numFmt numFmtId="176" formatCode="_(&quot;R&quot;* #,##0.0000000000000_);_(&quot;R&quot;* \(#,##0.0000000000000\);_(&quot;R&quot;* &quot;-&quot;?????????????_);_(@_)"/>
    <numFmt numFmtId="177" formatCode="_(&quot;R&quot;* #,##0_);_(&quot;R&quot;* \(#,##0\);_(&quot;R&quot;* &quot;-&quot;?????????????_);_(@_)"/>
    <numFmt numFmtId="178" formatCode="_(&quot;R&quot;* #,##0.00000000_);_(&quot;R&quot;* \(#,##0.00000000\);_(&quot;R&quot;* &quot;-&quot;????????_);_(@_)"/>
    <numFmt numFmtId="179" formatCode="_(&quot;R&quot;* #,##0.0000000000000000000000_);_(&quot;R&quot;* \(#,##0.0000000000000000000000\);_(&quot;R&quot;* &quot;-&quot;??_);_(@_)"/>
  </numFmts>
  <fonts count="39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6"/>
      <color theme="1"/>
      <name val="Aptos Narrow"/>
      <scheme val="minor"/>
    </font>
    <font>
      <i/>
      <sz val="12"/>
      <color theme="1"/>
      <name val="Calibri"/>
      <family val="2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Aptos Narrow"/>
      <scheme val="minor"/>
    </font>
    <font>
      <b/>
      <sz val="12"/>
      <color rgb="FFFF0000"/>
      <name val="Calibri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u/>
      <sz val="12"/>
      <color theme="1"/>
      <name val="Aptos Narrow"/>
      <scheme val="minor"/>
    </font>
    <font>
      <b/>
      <u/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1"/>
      <color theme="1"/>
      <name val="Webdings"/>
      <family val="1"/>
      <charset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rial"/>
      <family val="2"/>
    </font>
    <font>
      <i/>
      <sz val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color rgb="FFFF0000"/>
      <name val="Calibri (Body)"/>
    </font>
    <font>
      <i/>
      <sz val="12"/>
      <name val="Calibri (Body)"/>
    </font>
    <font>
      <sz val="12"/>
      <name val="Calibri"/>
      <family val="2"/>
    </font>
    <font>
      <sz val="12"/>
      <name val="Aptos Narrow"/>
      <family val="2"/>
      <scheme val="minor"/>
    </font>
    <font>
      <b/>
      <i/>
      <sz val="12"/>
      <color rgb="FFFF0000"/>
      <name val="Aptos Narrow (Body)"/>
    </font>
    <font>
      <sz val="12"/>
      <color theme="1"/>
      <name val="Webdings"/>
      <charset val="2"/>
    </font>
    <font>
      <i/>
      <sz val="12"/>
      <name val="Aptos Narrow (Body)"/>
    </font>
    <font>
      <i/>
      <sz val="12"/>
      <name val="Aptos Narrow"/>
      <family val="2"/>
      <scheme val="minor"/>
    </font>
    <font>
      <b/>
      <i/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B3040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6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3" borderId="0" xfId="0" applyFont="1" applyFill="1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7" fillId="0" borderId="0" xfId="0" applyFont="1"/>
    <xf numFmtId="9" fontId="0" fillId="0" borderId="0" xfId="0" applyNumberFormat="1"/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0" fillId="4" borderId="5" xfId="0" applyFill="1" applyBorder="1"/>
    <xf numFmtId="0" fontId="0" fillId="4" borderId="6" xfId="0" applyFill="1" applyBorder="1"/>
    <xf numFmtId="9" fontId="0" fillId="4" borderId="6" xfId="0" applyNumberFormat="1" applyFill="1" applyBorder="1"/>
    <xf numFmtId="9" fontId="0" fillId="4" borderId="7" xfId="0" applyNumberFormat="1" applyFill="1" applyBorder="1"/>
    <xf numFmtId="0" fontId="0" fillId="5" borderId="5" xfId="0" applyFill="1" applyBorder="1"/>
    <xf numFmtId="0" fontId="0" fillId="5" borderId="6" xfId="0" applyFill="1" applyBorder="1"/>
    <xf numFmtId="9" fontId="0" fillId="5" borderId="6" xfId="0" applyNumberFormat="1" applyFill="1" applyBorder="1"/>
    <xf numFmtId="9" fontId="0" fillId="5" borderId="7" xfId="0" applyNumberFormat="1" applyFill="1" applyBorder="1"/>
    <xf numFmtId="0" fontId="0" fillId="2" borderId="0" xfId="0" applyFill="1"/>
    <xf numFmtId="1" fontId="0" fillId="0" borderId="0" xfId="0" applyNumberFormat="1"/>
    <xf numFmtId="0" fontId="8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vertical="center"/>
    </xf>
    <xf numFmtId="0" fontId="1" fillId="4" borderId="0" xfId="0" applyFont="1" applyFill="1" applyAlignment="1">
      <alignment horizontal="left"/>
    </xf>
    <xf numFmtId="0" fontId="9" fillId="5" borderId="0" xfId="0" applyFont="1" applyFill="1"/>
    <xf numFmtId="0" fontId="8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horizontal="left"/>
    </xf>
    <xf numFmtId="0" fontId="11" fillId="5" borderId="0" xfId="0" applyFont="1" applyFill="1"/>
    <xf numFmtId="0" fontId="3" fillId="0" borderId="0" xfId="0" applyFont="1" applyAlignment="1">
      <alignment vertical="center"/>
    </xf>
    <xf numFmtId="1" fontId="0" fillId="4" borderId="0" xfId="0" applyNumberFormat="1" applyFill="1"/>
    <xf numFmtId="1" fontId="0" fillId="4" borderId="8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/>
    <xf numFmtId="164" fontId="0" fillId="0" borderId="0" xfId="0" applyNumberForma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44" fontId="0" fillId="0" borderId="0" xfId="0" applyNumberFormat="1"/>
    <xf numFmtId="165" fontId="1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left"/>
    </xf>
    <xf numFmtId="164" fontId="0" fillId="2" borderId="0" xfId="0" applyNumberFormat="1" applyFill="1"/>
    <xf numFmtId="0" fontId="13" fillId="0" borderId="0" xfId="0" applyFont="1"/>
    <xf numFmtId="0" fontId="15" fillId="6" borderId="0" xfId="1" applyFont="1" applyFill="1"/>
    <xf numFmtId="0" fontId="6" fillId="7" borderId="0" xfId="0" applyFont="1" applyFill="1"/>
    <xf numFmtId="0" fontId="9" fillId="0" borderId="0" xfId="0" applyFont="1"/>
    <xf numFmtId="0" fontId="16" fillId="0" borderId="0" xfId="0" applyFont="1"/>
    <xf numFmtId="0" fontId="2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2" fillId="0" borderId="0" xfId="0" applyFont="1" applyAlignment="1">
      <alignment horizontal="center"/>
    </xf>
    <xf numFmtId="0" fontId="15" fillId="0" borderId="0" xfId="1" applyFont="1"/>
    <xf numFmtId="0" fontId="15" fillId="6" borderId="0" xfId="1" applyFont="1" applyFill="1" applyAlignment="1">
      <alignment horizontal="right" wrapText="1"/>
    </xf>
    <xf numFmtId="0" fontId="15" fillId="6" borderId="0" xfId="1" applyFont="1" applyFill="1" applyAlignment="1">
      <alignment horizontal="center"/>
    </xf>
    <xf numFmtId="0" fontId="14" fillId="0" borderId="0" xfId="1"/>
    <xf numFmtId="0" fontId="20" fillId="0" borderId="0" xfId="1" applyFont="1"/>
    <xf numFmtId="167" fontId="0" fillId="0" borderId="0" xfId="4" applyNumberFormat="1" applyFont="1" applyFill="1" applyBorder="1"/>
    <xf numFmtId="167" fontId="0" fillId="0" borderId="0" xfId="4" applyNumberFormat="1" applyFont="1" applyBorder="1"/>
    <xf numFmtId="167" fontId="0" fillId="0" borderId="0" xfId="2" applyNumberFormat="1" applyFont="1"/>
    <xf numFmtId="167" fontId="21" fillId="0" borderId="9" xfId="4" applyNumberFormat="1" applyFont="1" applyFill="1" applyBorder="1" applyAlignment="1">
      <alignment horizontal="right"/>
    </xf>
    <xf numFmtId="167" fontId="0" fillId="0" borderId="9" xfId="4" applyNumberFormat="1" applyFont="1" applyFill="1" applyBorder="1"/>
    <xf numFmtId="0" fontId="22" fillId="0" borderId="0" xfId="1" applyFont="1"/>
    <xf numFmtId="167" fontId="22" fillId="0" borderId="0" xfId="4" applyNumberFormat="1" applyFont="1" applyFill="1" applyBorder="1"/>
    <xf numFmtId="167" fontId="22" fillId="0" borderId="0" xfId="4" applyNumberFormat="1" applyFont="1" applyBorder="1"/>
    <xf numFmtId="9" fontId="0" fillId="0" borderId="0" xfId="3" applyFont="1"/>
    <xf numFmtId="167" fontId="21" fillId="0" borderId="9" xfId="4" applyNumberFormat="1" applyFont="1" applyFill="1" applyBorder="1"/>
    <xf numFmtId="167" fontId="0" fillId="9" borderId="9" xfId="4" applyNumberFormat="1" applyFont="1" applyFill="1" applyBorder="1"/>
    <xf numFmtId="167" fontId="0" fillId="0" borderId="9" xfId="4" applyNumberFormat="1" applyFont="1" applyBorder="1"/>
    <xf numFmtId="166" fontId="0" fillId="0" borderId="0" xfId="0" applyNumberFormat="1"/>
    <xf numFmtId="0" fontId="23" fillId="0" borderId="0" xfId="0" applyFont="1"/>
    <xf numFmtId="0" fontId="21" fillId="0" borderId="0" xfId="0" applyFont="1"/>
    <xf numFmtId="168" fontId="0" fillId="0" borderId="10" xfId="0" applyNumberFormat="1" applyBorder="1"/>
    <xf numFmtId="167" fontId="24" fillId="0" borderId="10" xfId="0" applyNumberFormat="1" applyFont="1" applyBorder="1"/>
    <xf numFmtId="168" fontId="0" fillId="0" borderId="0" xfId="2" applyNumberFormat="1" applyFont="1" applyBorder="1"/>
    <xf numFmtId="166" fontId="25" fillId="0" borderId="0" xfId="0" applyNumberFormat="1" applyFont="1"/>
    <xf numFmtId="0" fontId="26" fillId="0" borderId="0" xfId="1" applyFont="1"/>
    <xf numFmtId="0" fontId="27" fillId="0" borderId="0" xfId="0" applyFont="1"/>
    <xf numFmtId="167" fontId="0" fillId="0" borderId="0" xfId="0" applyNumberFormat="1"/>
    <xf numFmtId="167" fontId="0" fillId="0" borderId="4" xfId="0" applyNumberFormat="1" applyBorder="1"/>
    <xf numFmtId="0" fontId="28" fillId="0" borderId="0" xfId="0" applyFont="1"/>
    <xf numFmtId="169" fontId="0" fillId="0" borderId="0" xfId="0" applyNumberFormat="1"/>
    <xf numFmtId="0" fontId="29" fillId="0" borderId="0" xfId="0" applyFont="1"/>
    <xf numFmtId="9" fontId="0" fillId="0" borderId="0" xfId="3" applyFont="1" applyBorder="1"/>
    <xf numFmtId="44" fontId="1" fillId="0" borderId="0" xfId="0" applyNumberFormat="1" applyFont="1"/>
    <xf numFmtId="10" fontId="1" fillId="0" borderId="0" xfId="0" applyNumberFormat="1" applyFont="1" applyAlignment="1">
      <alignment horizontal="left"/>
    </xf>
    <xf numFmtId="164" fontId="32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64" fontId="1" fillId="2" borderId="0" xfId="0" applyNumberFormat="1" applyFont="1" applyFill="1" applyAlignment="1">
      <alignment vertical="center"/>
    </xf>
    <xf numFmtId="6" fontId="0" fillId="0" borderId="0" xfId="0" applyNumberFormat="1"/>
    <xf numFmtId="164" fontId="9" fillId="0" borderId="0" xfId="0" applyNumberFormat="1" applyFont="1"/>
    <xf numFmtId="164" fontId="2" fillId="0" borderId="0" xfId="0" applyNumberFormat="1" applyFont="1"/>
    <xf numFmtId="8" fontId="0" fillId="0" borderId="0" xfId="0" applyNumberFormat="1"/>
    <xf numFmtId="0" fontId="0" fillId="0" borderId="0" xfId="3" applyNumberFormat="1" applyFont="1"/>
    <xf numFmtId="10" fontId="0" fillId="0" borderId="0" xfId="3" applyNumberFormat="1" applyFont="1"/>
    <xf numFmtId="1" fontId="0" fillId="0" borderId="0" xfId="3" applyNumberFormat="1" applyFont="1"/>
    <xf numFmtId="164" fontId="0" fillId="0" borderId="11" xfId="0" applyNumberFormat="1" applyBorder="1"/>
    <xf numFmtId="0" fontId="0" fillId="0" borderId="13" xfId="0" applyBorder="1"/>
    <xf numFmtId="0" fontId="0" fillId="0" borderId="9" xfId="0" applyBorder="1"/>
    <xf numFmtId="0" fontId="0" fillId="0" borderId="14" xfId="0" applyBorder="1"/>
    <xf numFmtId="164" fontId="0" fillId="0" borderId="13" xfId="0" applyNumberFormat="1" applyBorder="1"/>
    <xf numFmtId="164" fontId="0" fillId="0" borderId="4" xfId="0" applyNumberFormat="1" applyBorder="1"/>
    <xf numFmtId="164" fontId="0" fillId="0" borderId="12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9" xfId="0" applyNumberFormat="1" applyBorder="1"/>
    <xf numFmtId="164" fontId="0" fillId="0" borderId="14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8" xfId="0" applyNumberFormat="1" applyBorder="1"/>
    <xf numFmtId="164" fontId="0" fillId="0" borderId="19" xfId="0" applyNumberFormat="1" applyBorder="1"/>
    <xf numFmtId="44" fontId="2" fillId="0" borderId="0" xfId="0" applyNumberFormat="1" applyFont="1"/>
    <xf numFmtId="164" fontId="33" fillId="0" borderId="0" xfId="0" applyNumberFormat="1" applyFont="1"/>
    <xf numFmtId="44" fontId="0" fillId="0" borderId="16" xfId="0" applyNumberFormat="1" applyBorder="1"/>
    <xf numFmtId="1" fontId="2" fillId="8" borderId="1" xfId="0" applyNumberFormat="1" applyFont="1" applyFill="1" applyBorder="1" applyAlignment="1">
      <alignment horizontal="center"/>
    </xf>
    <xf numFmtId="170" fontId="0" fillId="0" borderId="0" xfId="0" applyNumberFormat="1"/>
    <xf numFmtId="1" fontId="2" fillId="8" borderId="2" xfId="0" applyNumberFormat="1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11" borderId="7" xfId="0" applyFill="1" applyBorder="1"/>
    <xf numFmtId="0" fontId="0" fillId="10" borderId="6" xfId="0" applyFill="1" applyBorder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35" fillId="0" borderId="0" xfId="0" applyFont="1"/>
    <xf numFmtId="175" fontId="0" fillId="0" borderId="0" xfId="0" applyNumberFormat="1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0" fontId="0" fillId="10" borderId="7" xfId="0" applyFill="1" applyBorder="1"/>
    <xf numFmtId="0" fontId="38" fillId="0" borderId="0" xfId="0" applyFont="1" applyAlignment="1">
      <alignment horizontal="left"/>
    </xf>
    <xf numFmtId="164" fontId="1" fillId="0" borderId="8" xfId="0" applyNumberFormat="1" applyFont="1" applyBorder="1" applyAlignment="1">
      <alignment horizontal="left"/>
    </xf>
    <xf numFmtId="0" fontId="1" fillId="12" borderId="0" xfId="0" applyFont="1" applyFill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</cellXfs>
  <cellStyles count="5">
    <cellStyle name="Comma" xfId="2" builtinId="3"/>
    <cellStyle name="Comma 3" xfId="4" xr:uid="{AE8EFB70-BA32-3C4A-9D01-D5684183CE66}"/>
    <cellStyle name="Normal" xfId="0" builtinId="0"/>
    <cellStyle name="Normal 3" xfId="1" xr:uid="{FCF01DD7-D8E3-C343-B84D-54F1D298A82C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7</xdr:col>
      <xdr:colOff>863600</xdr:colOff>
      <xdr:row>56</xdr:row>
      <xdr:rowOff>180163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8DE481-97A3-03E4-3F5A-C20B02F59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918200"/>
          <a:ext cx="7772400" cy="5056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7</xdr:col>
      <xdr:colOff>863600</xdr:colOff>
      <xdr:row>56</xdr:row>
      <xdr:rowOff>180163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C0F482-4CC2-CC45-818A-4AA6C0744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918200"/>
          <a:ext cx="7772400" cy="5056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F0D6-DC21-5449-9062-889FB7B3DFC2}">
  <sheetPr>
    <tabColor theme="9"/>
  </sheetPr>
  <dimension ref="A1:D22"/>
  <sheetViews>
    <sheetView topLeftCell="A2" workbookViewId="0">
      <selection activeCell="B9" sqref="B9:B22"/>
    </sheetView>
  </sheetViews>
  <sheetFormatPr baseColWidth="10" defaultRowHeight="16" x14ac:dyDescent="0.2"/>
  <cols>
    <col min="1" max="1" width="47.83203125" bestFit="1" customWidth="1"/>
  </cols>
  <sheetData>
    <row r="1" spans="1:4" x14ac:dyDescent="0.2">
      <c r="A1" s="59" t="s">
        <v>345</v>
      </c>
    </row>
    <row r="3" spans="1:4" ht="17" thickBot="1" x14ac:dyDescent="0.25">
      <c r="A3" s="59" t="s">
        <v>114</v>
      </c>
      <c r="C3" t="s">
        <v>305</v>
      </c>
    </row>
    <row r="4" spans="1:4" x14ac:dyDescent="0.2">
      <c r="C4" s="128"/>
      <c r="D4" t="s">
        <v>335</v>
      </c>
    </row>
    <row r="5" spans="1:4" ht="17" thickBot="1" x14ac:dyDescent="0.25">
      <c r="A5" s="13"/>
      <c r="C5" s="129"/>
      <c r="D5" t="s">
        <v>306</v>
      </c>
    </row>
    <row r="6" spans="1:4" ht="17" thickBot="1" x14ac:dyDescent="0.25"/>
    <row r="7" spans="1:4" x14ac:dyDescent="0.2">
      <c r="A7" t="s">
        <v>0</v>
      </c>
      <c r="B7" t="s">
        <v>307</v>
      </c>
      <c r="C7" s="128"/>
    </row>
    <row r="8" spans="1:4" x14ac:dyDescent="0.2">
      <c r="A8" t="s">
        <v>344</v>
      </c>
      <c r="B8" t="s">
        <v>308</v>
      </c>
      <c r="C8" s="130"/>
    </row>
    <row r="9" spans="1:4" x14ac:dyDescent="0.2">
      <c r="A9" t="s">
        <v>346</v>
      </c>
      <c r="B9" t="s">
        <v>309</v>
      </c>
      <c r="C9" s="130"/>
    </row>
    <row r="10" spans="1:4" x14ac:dyDescent="0.2">
      <c r="A10" t="s">
        <v>357</v>
      </c>
      <c r="B10" t="s">
        <v>310</v>
      </c>
      <c r="C10" s="130"/>
    </row>
    <row r="11" spans="1:4" x14ac:dyDescent="0.2">
      <c r="A11" t="s">
        <v>347</v>
      </c>
      <c r="B11" t="s">
        <v>311</v>
      </c>
      <c r="C11" s="130"/>
    </row>
    <row r="12" spans="1:4" x14ac:dyDescent="0.2">
      <c r="A12" t="s">
        <v>348</v>
      </c>
      <c r="B12" t="s">
        <v>312</v>
      </c>
      <c r="C12" s="130"/>
    </row>
    <row r="13" spans="1:4" x14ac:dyDescent="0.2">
      <c r="A13" t="s">
        <v>115</v>
      </c>
      <c r="B13" t="s">
        <v>313</v>
      </c>
      <c r="C13" s="130"/>
    </row>
    <row r="14" spans="1:4" x14ac:dyDescent="0.2">
      <c r="A14" t="s">
        <v>116</v>
      </c>
      <c r="B14" t="s">
        <v>314</v>
      </c>
      <c r="C14" s="130"/>
    </row>
    <row r="15" spans="1:4" x14ac:dyDescent="0.2">
      <c r="A15" t="s">
        <v>117</v>
      </c>
      <c r="B15" t="s">
        <v>315</v>
      </c>
      <c r="C15" s="130"/>
    </row>
    <row r="16" spans="1:4" x14ac:dyDescent="0.2">
      <c r="A16" t="s">
        <v>118</v>
      </c>
      <c r="B16" t="s">
        <v>318</v>
      </c>
      <c r="C16" s="130"/>
    </row>
    <row r="17" spans="1:3" x14ac:dyDescent="0.2">
      <c r="A17" t="s">
        <v>119</v>
      </c>
      <c r="B17" t="s">
        <v>319</v>
      </c>
      <c r="C17" s="130"/>
    </row>
    <row r="18" spans="1:3" x14ac:dyDescent="0.2">
      <c r="A18" t="s">
        <v>120</v>
      </c>
      <c r="B18" t="s">
        <v>320</v>
      </c>
      <c r="C18" s="130"/>
    </row>
    <row r="19" spans="1:3" x14ac:dyDescent="0.2">
      <c r="A19" t="s">
        <v>316</v>
      </c>
      <c r="B19" t="s">
        <v>349</v>
      </c>
      <c r="C19" s="130"/>
    </row>
    <row r="20" spans="1:3" x14ac:dyDescent="0.2">
      <c r="A20" t="s">
        <v>317</v>
      </c>
      <c r="B20" t="s">
        <v>350</v>
      </c>
      <c r="C20" s="130"/>
    </row>
    <row r="21" spans="1:3" x14ac:dyDescent="0.2">
      <c r="A21" t="s">
        <v>321</v>
      </c>
      <c r="B21" t="s">
        <v>351</v>
      </c>
      <c r="C21" s="130"/>
    </row>
    <row r="22" spans="1:3" ht="17" thickBot="1" x14ac:dyDescent="0.25">
      <c r="A22" t="s">
        <v>322</v>
      </c>
      <c r="B22" t="s">
        <v>358</v>
      </c>
      <c r="C22" s="141"/>
    </row>
  </sheetData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A136-F719-2C4B-A12A-CFB3DE583360}">
  <sheetPr>
    <tabColor theme="9"/>
  </sheetPr>
  <dimension ref="A1:AS33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122" bestFit="1" customWidth="1"/>
    <col min="2" max="13" width="14.83203125" bestFit="1" customWidth="1"/>
  </cols>
  <sheetData>
    <row r="1" spans="1:13" ht="21" x14ac:dyDescent="0.25">
      <c r="A1" s="10" t="s">
        <v>67</v>
      </c>
    </row>
    <row r="2" spans="1:13" ht="17" thickBot="1" x14ac:dyDescent="0.25"/>
    <row r="3" spans="1:13" ht="17" thickBot="1" x14ac:dyDescent="0.25">
      <c r="A3" s="9" t="s">
        <v>66</v>
      </c>
      <c r="B3" s="145" t="s">
        <v>65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</row>
    <row r="4" spans="1:13" x14ac:dyDescent="0.2">
      <c r="A4" s="11"/>
      <c r="B4" s="61" t="s">
        <v>54</v>
      </c>
      <c r="C4" s="61" t="s">
        <v>55</v>
      </c>
      <c r="D4" s="61" t="s">
        <v>44</v>
      </c>
      <c r="E4" s="61" t="s">
        <v>45</v>
      </c>
      <c r="F4" s="61" t="s">
        <v>46</v>
      </c>
      <c r="G4" s="61" t="s">
        <v>47</v>
      </c>
      <c r="H4" s="61" t="s">
        <v>48</v>
      </c>
      <c r="I4" s="61" t="s">
        <v>49</v>
      </c>
      <c r="J4" s="61" t="s">
        <v>50</v>
      </c>
      <c r="K4" s="61" t="s">
        <v>51</v>
      </c>
      <c r="L4" s="61" t="s">
        <v>52</v>
      </c>
      <c r="M4" s="61" t="s">
        <v>53</v>
      </c>
    </row>
    <row r="5" spans="1:13" x14ac:dyDescent="0.2">
      <c r="A5" t="s">
        <v>30</v>
      </c>
      <c r="B5" s="46">
        <f>SUM(B6:B14)</f>
        <v>21359221.649999999</v>
      </c>
      <c r="C5" s="46">
        <f t="shared" ref="C5:M5" si="0">SUM(C6:C14)</f>
        <v>19292200.199999999</v>
      </c>
      <c r="D5" s="46">
        <f t="shared" si="0"/>
        <v>21359221.649999999</v>
      </c>
      <c r="E5" s="46">
        <f t="shared" si="0"/>
        <v>20670214.5</v>
      </c>
      <c r="F5" s="46">
        <f t="shared" si="0"/>
        <v>21359221.649999999</v>
      </c>
      <c r="G5" s="46">
        <f t="shared" si="0"/>
        <v>20670214.5</v>
      </c>
      <c r="H5" s="46">
        <f t="shared" si="0"/>
        <v>21359221.649999999</v>
      </c>
      <c r="I5" s="46">
        <f t="shared" si="0"/>
        <v>21359221.649999999</v>
      </c>
      <c r="J5" s="46">
        <f t="shared" si="0"/>
        <v>20670214.5</v>
      </c>
      <c r="K5" s="46">
        <f t="shared" si="0"/>
        <v>21359221.649999999</v>
      </c>
      <c r="L5" s="46">
        <f t="shared" si="0"/>
        <v>20670214.5</v>
      </c>
      <c r="M5" s="46">
        <f t="shared" si="0"/>
        <v>21359221.649999999</v>
      </c>
    </row>
    <row r="6" spans="1:13" x14ac:dyDescent="0.2">
      <c r="A6" s="3" t="s">
        <v>1</v>
      </c>
      <c r="B6" s="46">
        <f>'1. Assumptions'!$B$24*'2. Clients secured'!B52</f>
        <v>1595879.9999999998</v>
      </c>
      <c r="C6" s="46">
        <f>'1. Assumptions'!$B$24*'2. Clients secured'!C52</f>
        <v>1441440</v>
      </c>
      <c r="D6" s="46">
        <f>'1. Assumptions'!$B$24*'2. Clients secured'!D52</f>
        <v>1595879.9999999998</v>
      </c>
      <c r="E6" s="46">
        <f>'1. Assumptions'!$B$24*'2. Clients secured'!E52</f>
        <v>1544399.9999999998</v>
      </c>
      <c r="F6" s="46">
        <f>'1. Assumptions'!$B$24*'2. Clients secured'!F52</f>
        <v>1595879.9999999998</v>
      </c>
      <c r="G6" s="46">
        <f>'1. Assumptions'!$B$24*'2. Clients secured'!G52</f>
        <v>1544399.9999999998</v>
      </c>
      <c r="H6" s="46">
        <f>'1. Assumptions'!$B$24*'2. Clients secured'!H52</f>
        <v>1595879.9999999998</v>
      </c>
      <c r="I6" s="46">
        <f>'1. Assumptions'!$B$24*'2. Clients secured'!I52</f>
        <v>1595879.9999999998</v>
      </c>
      <c r="J6" s="46">
        <f>'1. Assumptions'!$B$24*'2. Clients secured'!J52</f>
        <v>1544399.9999999998</v>
      </c>
      <c r="K6" s="46">
        <f>'1. Assumptions'!$B$24*'2. Clients secured'!K52</f>
        <v>1595879.9999999998</v>
      </c>
      <c r="L6" s="46">
        <f>'1. Assumptions'!$B$24*'2. Clients secured'!L52</f>
        <v>1544399.9999999998</v>
      </c>
      <c r="M6" s="46">
        <f>'1. Assumptions'!$B$24*'2. Clients secured'!M52</f>
        <v>1595879.9999999998</v>
      </c>
    </row>
    <row r="7" spans="1:13" x14ac:dyDescent="0.2">
      <c r="A7" s="3" t="s">
        <v>2</v>
      </c>
      <c r="B7" s="46">
        <f>'1. Assumptions'!$B$32*'2. Clients secured'!B58</f>
        <v>4787640</v>
      </c>
      <c r="C7" s="46">
        <f>'1. Assumptions'!$B$32*'2. Clients secured'!C58</f>
        <v>4324320</v>
      </c>
      <c r="D7" s="46">
        <f>'1. Assumptions'!$B$32*'2. Clients secured'!D58</f>
        <v>4787640</v>
      </c>
      <c r="E7" s="46">
        <f>'1. Assumptions'!$B$32*'2. Clients secured'!E58</f>
        <v>4633200</v>
      </c>
      <c r="F7" s="46">
        <f>'1. Assumptions'!$B$32*'2. Clients secured'!F58</f>
        <v>4787640</v>
      </c>
      <c r="G7" s="46">
        <f>'1. Assumptions'!$B$32*'2. Clients secured'!G58</f>
        <v>4633200</v>
      </c>
      <c r="H7" s="46">
        <f>'1. Assumptions'!$B$32*'2. Clients secured'!H58</f>
        <v>4787640</v>
      </c>
      <c r="I7" s="46">
        <f>'1. Assumptions'!$B$32*'2. Clients secured'!I58</f>
        <v>4787640</v>
      </c>
      <c r="J7" s="46">
        <f>'1. Assumptions'!$B$32*'2. Clients secured'!J58</f>
        <v>4633200</v>
      </c>
      <c r="K7" s="46">
        <f>'1. Assumptions'!$B$32*'2. Clients secured'!K58</f>
        <v>4787640</v>
      </c>
      <c r="L7" s="46">
        <f>'1. Assumptions'!$B$32*'2. Clients secured'!L58</f>
        <v>4633200</v>
      </c>
      <c r="M7" s="46">
        <f>'1. Assumptions'!$B$32*'2. Clients secured'!M58</f>
        <v>4787640</v>
      </c>
    </row>
    <row r="8" spans="1:13" x14ac:dyDescent="0.2">
      <c r="A8" s="3" t="s">
        <v>3</v>
      </c>
      <c r="B8" s="46">
        <f>'1. Assumptions'!$B$40*'2. Clients secured'!B64</f>
        <v>2393820</v>
      </c>
      <c r="C8" s="46">
        <f>'1. Assumptions'!$B$40*'2. Clients secured'!C64</f>
        <v>2162160</v>
      </c>
      <c r="D8" s="46">
        <f>'1. Assumptions'!$B$40*'2. Clients secured'!D64</f>
        <v>2393820</v>
      </c>
      <c r="E8" s="46">
        <f>'1. Assumptions'!$B$40*'2. Clients secured'!E64</f>
        <v>2316600</v>
      </c>
      <c r="F8" s="46">
        <f>'1. Assumptions'!$B$40*'2. Clients secured'!F64</f>
        <v>2393820</v>
      </c>
      <c r="G8" s="46">
        <f>'1. Assumptions'!$B$40*'2. Clients secured'!G64</f>
        <v>2316600</v>
      </c>
      <c r="H8" s="46">
        <f>'1. Assumptions'!$B$40*'2. Clients secured'!H64</f>
        <v>2393820</v>
      </c>
      <c r="I8" s="46">
        <f>'1. Assumptions'!$B$40*'2. Clients secured'!I64</f>
        <v>2393820</v>
      </c>
      <c r="J8" s="46">
        <f>'1. Assumptions'!$B$40*'2. Clients secured'!J64</f>
        <v>2316600</v>
      </c>
      <c r="K8" s="46">
        <f>'1. Assumptions'!$B$40*'2. Clients secured'!K64</f>
        <v>2393820</v>
      </c>
      <c r="L8" s="46">
        <f>'1. Assumptions'!$B$40*'2. Clients secured'!L64</f>
        <v>2316600</v>
      </c>
      <c r="M8" s="46">
        <f>'1. Assumptions'!$B$40*'2. Clients secured'!M64</f>
        <v>2393820</v>
      </c>
    </row>
    <row r="9" spans="1:13" x14ac:dyDescent="0.2">
      <c r="A9" s="3" t="s">
        <v>13</v>
      </c>
      <c r="B9" s="46">
        <f>'1. Assumptions'!$B$49*'2. Clients secured'!B70</f>
        <v>718146</v>
      </c>
      <c r="C9" s="46">
        <f>'1. Assumptions'!$B$49*'2. Clients secured'!C70</f>
        <v>648648</v>
      </c>
      <c r="D9" s="46">
        <f>'1. Assumptions'!$B$49*'2. Clients secured'!D70</f>
        <v>718146</v>
      </c>
      <c r="E9" s="46">
        <f>'1. Assumptions'!$B$49*'2. Clients secured'!E70</f>
        <v>694979.99999999988</v>
      </c>
      <c r="F9" s="46">
        <f>'1. Assumptions'!$B$49*'2. Clients secured'!F70</f>
        <v>718146</v>
      </c>
      <c r="G9" s="46">
        <f>'1. Assumptions'!$B$49*'2. Clients secured'!G70</f>
        <v>694979.99999999988</v>
      </c>
      <c r="H9" s="46">
        <f>'1. Assumptions'!$B$49*'2. Clients secured'!H70</f>
        <v>718146</v>
      </c>
      <c r="I9" s="46">
        <f>'1. Assumptions'!$B$49*'2. Clients secured'!I70</f>
        <v>718146</v>
      </c>
      <c r="J9" s="46">
        <f>'1. Assumptions'!$B$49*'2. Clients secured'!J70</f>
        <v>694979.99999999988</v>
      </c>
      <c r="K9" s="46">
        <f>'1. Assumptions'!$B$49*'2. Clients secured'!K70</f>
        <v>718146</v>
      </c>
      <c r="L9" s="46">
        <f>'1. Assumptions'!$B$49*'2. Clients secured'!L70</f>
        <v>694979.99999999988</v>
      </c>
      <c r="M9" s="46">
        <f>'1. Assumptions'!$B$49*'2. Clients secured'!M70</f>
        <v>718146</v>
      </c>
    </row>
    <row r="10" spans="1:13" x14ac:dyDescent="0.2">
      <c r="A10" s="3" t="s">
        <v>14</v>
      </c>
      <c r="B10" s="46">
        <f>'1. Assumptions'!$B$57*'2. Clients secured'!B76</f>
        <v>438866.99999999994</v>
      </c>
      <c r="C10" s="46">
        <f>'1. Assumptions'!$B$57*'2. Clients secured'!C76</f>
        <v>396396</v>
      </c>
      <c r="D10" s="46">
        <f>'1. Assumptions'!$B$57*'2. Clients secured'!D76</f>
        <v>438866.99999999994</v>
      </c>
      <c r="E10" s="46">
        <f>'1. Assumptions'!$B$57*'2. Clients secured'!E76</f>
        <v>424709.99999999994</v>
      </c>
      <c r="F10" s="46">
        <f>'1. Assumptions'!$B$57*'2. Clients secured'!F76</f>
        <v>438866.99999999994</v>
      </c>
      <c r="G10" s="46">
        <f>'1. Assumptions'!$B$57*'2. Clients secured'!G76</f>
        <v>424709.99999999994</v>
      </c>
      <c r="H10" s="46">
        <f>'1. Assumptions'!$B$57*'2. Clients secured'!H76</f>
        <v>438866.99999999994</v>
      </c>
      <c r="I10" s="46">
        <f>'1. Assumptions'!$B$57*'2. Clients secured'!I76</f>
        <v>438866.99999999994</v>
      </c>
      <c r="J10" s="46">
        <f>'1. Assumptions'!$B$57*'2. Clients secured'!J76</f>
        <v>424709.99999999994</v>
      </c>
      <c r="K10" s="46">
        <f>'1. Assumptions'!$B$57*'2. Clients secured'!K76</f>
        <v>438866.99999999994</v>
      </c>
      <c r="L10" s="46">
        <f>'1. Assumptions'!$B$57*'2. Clients secured'!L76</f>
        <v>424709.99999999994</v>
      </c>
      <c r="M10" s="46">
        <f>'1. Assumptions'!$B$57*'2. Clients secured'!M76</f>
        <v>438866.99999999994</v>
      </c>
    </row>
    <row r="11" spans="1:13" x14ac:dyDescent="0.2">
      <c r="A11" s="3" t="s">
        <v>24</v>
      </c>
      <c r="B11" s="46">
        <f>'1. Assumptions'!$B$69*'2. Clients secured'!B82</f>
        <v>5924704.5</v>
      </c>
      <c r="C11" s="46">
        <f>'1. Assumptions'!$B$69*'2. Clients secured'!C82</f>
        <v>5351346</v>
      </c>
      <c r="D11" s="46">
        <f>'1. Assumptions'!$B$69*'2. Clients secured'!D82</f>
        <v>5924704.5</v>
      </c>
      <c r="E11" s="46">
        <f>'1. Assumptions'!$B$69*'2. Clients secured'!E82</f>
        <v>5733584.9999999991</v>
      </c>
      <c r="F11" s="46">
        <f>'1. Assumptions'!$B$69*'2. Clients secured'!F82</f>
        <v>5924704.5</v>
      </c>
      <c r="G11" s="46">
        <f>'1. Assumptions'!$B$69*'2. Clients secured'!G82</f>
        <v>5733584.9999999991</v>
      </c>
      <c r="H11" s="46">
        <f>'1. Assumptions'!$B$69*'2. Clients secured'!H82</f>
        <v>5924704.5</v>
      </c>
      <c r="I11" s="46">
        <f>'1. Assumptions'!$B$69*'2. Clients secured'!I82</f>
        <v>5924704.5</v>
      </c>
      <c r="J11" s="46">
        <f>'1. Assumptions'!$B$69*'2. Clients secured'!J82</f>
        <v>5733584.9999999991</v>
      </c>
      <c r="K11" s="46">
        <f>'1. Assumptions'!$B$69*'2. Clients secured'!K82</f>
        <v>5924704.5</v>
      </c>
      <c r="L11" s="46">
        <f>'1. Assumptions'!$B$69*'2. Clients secured'!L82</f>
        <v>5733584.9999999991</v>
      </c>
      <c r="M11" s="46">
        <f>'1. Assumptions'!$B$69*'2. Clients secured'!M82</f>
        <v>5924704.5</v>
      </c>
    </row>
    <row r="12" spans="1:13" x14ac:dyDescent="0.2">
      <c r="A12" s="3" t="s">
        <v>25</v>
      </c>
      <c r="B12" s="46">
        <f>'1. Assumptions'!$B$77*'2. Clients secured'!B88</f>
        <v>997424.99999999988</v>
      </c>
      <c r="C12" s="46">
        <f>'1. Assumptions'!$B$77*'2. Clients secured'!C88</f>
        <v>900900</v>
      </c>
      <c r="D12" s="46">
        <f>'1. Assumptions'!$B$77*'2. Clients secured'!D88</f>
        <v>997424.99999999988</v>
      </c>
      <c r="E12" s="46">
        <f>'1. Assumptions'!$B$77*'2. Clients secured'!E88</f>
        <v>965249.99999999988</v>
      </c>
      <c r="F12" s="46">
        <f>'1. Assumptions'!$B$77*'2. Clients secured'!F88</f>
        <v>997424.99999999988</v>
      </c>
      <c r="G12" s="46">
        <f>'1. Assumptions'!$B$77*'2. Clients secured'!G88</f>
        <v>965249.99999999988</v>
      </c>
      <c r="H12" s="46">
        <f>'1. Assumptions'!$B$77*'2. Clients secured'!H88</f>
        <v>997424.99999999988</v>
      </c>
      <c r="I12" s="46">
        <f>'1. Assumptions'!$B$77*'2. Clients secured'!I88</f>
        <v>997424.99999999988</v>
      </c>
      <c r="J12" s="46">
        <f>'1. Assumptions'!$B$77*'2. Clients secured'!J88</f>
        <v>965249.99999999988</v>
      </c>
      <c r="K12" s="46">
        <f>'1. Assumptions'!$B$77*'2. Clients secured'!K88</f>
        <v>997424.99999999988</v>
      </c>
      <c r="L12" s="46">
        <f>'1. Assumptions'!$B$77*'2. Clients secured'!L88</f>
        <v>965249.99999999988</v>
      </c>
      <c r="M12" s="46">
        <f>'1. Assumptions'!$B$77*'2. Clients secured'!M88</f>
        <v>997424.99999999988</v>
      </c>
    </row>
    <row r="13" spans="1:13" x14ac:dyDescent="0.2">
      <c r="A13" s="3" t="s">
        <v>56</v>
      </c>
      <c r="B13" s="46">
        <f>'1. Assumptions'!$B$85*'2. Clients secured'!B93</f>
        <v>266584.50000000006</v>
      </c>
      <c r="C13" s="46">
        <f>'1. Assumptions'!$B$85*'2. Clients secured'!C93</f>
        <v>240786.00000000003</v>
      </c>
      <c r="D13" s="46">
        <f>'1. Assumptions'!$B$85*'2. Clients secured'!D93</f>
        <v>266584.50000000006</v>
      </c>
      <c r="E13" s="46">
        <f>'1. Assumptions'!$B$85*'2. Clients secured'!E93</f>
        <v>257985</v>
      </c>
      <c r="F13" s="46">
        <f>'1. Assumptions'!$B$85*'2. Clients secured'!F93</f>
        <v>266584.50000000006</v>
      </c>
      <c r="G13" s="46">
        <f>'1. Assumptions'!$B$85*'2. Clients secured'!G93</f>
        <v>257985</v>
      </c>
      <c r="H13" s="46">
        <f>'1. Assumptions'!$B$85*'2. Clients secured'!H93</f>
        <v>266584.50000000006</v>
      </c>
      <c r="I13" s="46">
        <f>'1. Assumptions'!$B$85*'2. Clients secured'!I93</f>
        <v>266584.50000000006</v>
      </c>
      <c r="J13" s="46">
        <f>'1. Assumptions'!$B$85*'2. Clients secured'!J93</f>
        <v>257985</v>
      </c>
      <c r="K13" s="46">
        <f>'1. Assumptions'!$B$85*'2. Clients secured'!K93</f>
        <v>266584.50000000006</v>
      </c>
      <c r="L13" s="46">
        <f>'1. Assumptions'!$B$85*'2. Clients secured'!L93</f>
        <v>257985</v>
      </c>
      <c r="M13" s="46">
        <f>'1. Assumptions'!$B$85*'2. Clients secured'!M93</f>
        <v>266584.50000000006</v>
      </c>
    </row>
    <row r="14" spans="1:13" x14ac:dyDescent="0.2">
      <c r="A14" s="5" t="s">
        <v>57</v>
      </c>
      <c r="B14" s="46">
        <f>'2. Clients secured'!B160*'1. Assumptions'!$B$87</f>
        <v>4236154.6499999994</v>
      </c>
      <c r="C14" s="46">
        <f>'2. Clients secured'!C160*'1. Assumptions'!$B$87</f>
        <v>3826204.2</v>
      </c>
      <c r="D14" s="46">
        <f>'2. Clients secured'!D160*'1. Assumptions'!$B$87</f>
        <v>4236154.6499999994</v>
      </c>
      <c r="E14" s="46">
        <f>'2. Clients secured'!E160*'1. Assumptions'!$B$87</f>
        <v>4099504.4999999995</v>
      </c>
      <c r="F14" s="46">
        <f>'2. Clients secured'!F160*'1. Assumptions'!$B$87</f>
        <v>4236154.6499999994</v>
      </c>
      <c r="G14" s="46">
        <f>'2. Clients secured'!G160*'1. Assumptions'!$B$87</f>
        <v>4099504.4999999995</v>
      </c>
      <c r="H14" s="46">
        <f>'2. Clients secured'!H160*'1. Assumptions'!$B$87</f>
        <v>4236154.6499999994</v>
      </c>
      <c r="I14" s="46">
        <f>'2. Clients secured'!I160*'1. Assumptions'!$B$87</f>
        <v>4236154.6499999994</v>
      </c>
      <c r="J14" s="46">
        <f>'2. Clients secured'!J160*'1. Assumptions'!$B$87</f>
        <v>4099504.4999999995</v>
      </c>
      <c r="K14" s="46">
        <f>'2. Clients secured'!K160*'1. Assumptions'!$B$87</f>
        <v>4236154.6499999994</v>
      </c>
      <c r="L14" s="46">
        <f>'2. Clients secured'!L160*'1. Assumptions'!$B$87</f>
        <v>4099504.4999999995</v>
      </c>
      <c r="M14" s="46">
        <f>'2. Clients secured'!M160*'1. Assumptions'!$B$87</f>
        <v>4236154.6499999994</v>
      </c>
    </row>
    <row r="15" spans="1:13" x14ac:dyDescent="0.2">
      <c r="A15" s="3" t="s">
        <v>68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</row>
    <row r="16" spans="1:13" x14ac:dyDescent="0.2">
      <c r="A16" s="3" t="s">
        <v>69</v>
      </c>
      <c r="B16" s="47">
        <f>SUM(B5,B15)</f>
        <v>21359221.649999999</v>
      </c>
      <c r="C16" s="47">
        <f t="shared" ref="C16:H16" si="1">SUM(C5,C15)</f>
        <v>19292200.199999999</v>
      </c>
      <c r="D16" s="47">
        <f t="shared" si="1"/>
        <v>21359221.649999999</v>
      </c>
      <c r="E16" s="47">
        <f t="shared" si="1"/>
        <v>20670214.5</v>
      </c>
      <c r="F16" s="47">
        <f t="shared" si="1"/>
        <v>21359221.649999999</v>
      </c>
      <c r="G16" s="47">
        <f t="shared" si="1"/>
        <v>20670214.5</v>
      </c>
      <c r="H16" s="47">
        <f t="shared" si="1"/>
        <v>21359221.649999999</v>
      </c>
      <c r="I16" s="47">
        <f>SUM(I5,I15)</f>
        <v>21359221.649999999</v>
      </c>
      <c r="J16" s="47">
        <f t="shared" ref="J16" si="2">SUM(J5,J15)</f>
        <v>20670214.5</v>
      </c>
      <c r="K16" s="47">
        <f t="shared" ref="K16" si="3">SUM(K5,K15)</f>
        <v>21359221.649999999</v>
      </c>
      <c r="L16" s="47">
        <f t="shared" ref="L16" si="4">SUM(L5,L15)</f>
        <v>20670214.5</v>
      </c>
      <c r="M16" s="47">
        <f t="shared" ref="M16" si="5">SUM(M5,M15)</f>
        <v>21359221.649999999</v>
      </c>
    </row>
    <row r="17" spans="1:45" x14ac:dyDescent="0.2">
      <c r="A17" s="3" t="s">
        <v>70</v>
      </c>
      <c r="B17" s="47">
        <f>-SUM(B18:B28)</f>
        <v>-9104473.1905979142</v>
      </c>
      <c r="C17" s="47">
        <f t="shared" ref="C17:K17" si="6">-SUM(C18:C28)</f>
        <v>-8864283.4059895836</v>
      </c>
      <c r="D17" s="47">
        <f t="shared" si="6"/>
        <v>-8864283.4059895836</v>
      </c>
      <c r="E17" s="47">
        <f t="shared" si="6"/>
        <v>-8864283.4059895836</v>
      </c>
      <c r="F17" s="47">
        <f t="shared" si="6"/>
        <v>-8864283.4059895836</v>
      </c>
      <c r="G17" s="47">
        <f t="shared" si="6"/>
        <v>-8864283.4059895836</v>
      </c>
      <c r="H17" s="47">
        <f t="shared" si="6"/>
        <v>-8864283.4059895836</v>
      </c>
      <c r="I17" s="47">
        <f t="shared" si="6"/>
        <v>-8864283.4059895836</v>
      </c>
      <c r="J17" s="47">
        <f t="shared" si="6"/>
        <v>-8864283.4059895836</v>
      </c>
      <c r="K17" s="47">
        <f t="shared" si="6"/>
        <v>-8864283.4059895836</v>
      </c>
      <c r="L17" s="47">
        <f>-SUM(L18:L28)</f>
        <v>-8864283.4059895836</v>
      </c>
      <c r="M17" s="47">
        <f t="shared" ref="M17" si="7">-SUM(M18:M28)</f>
        <v>-8864283.4059895836</v>
      </c>
    </row>
    <row r="18" spans="1:45" x14ac:dyDescent="0.2">
      <c r="A18" s="3" t="s">
        <v>71</v>
      </c>
      <c r="B18" s="47">
        <f>'1. Assumptions'!$B$165</f>
        <v>3446884.3418898806</v>
      </c>
      <c r="C18" s="47">
        <f>'1. Assumptions'!$B$165</f>
        <v>3446884.3418898806</v>
      </c>
      <c r="D18" s="47">
        <f>'1. Assumptions'!$B$165</f>
        <v>3446884.3418898806</v>
      </c>
      <c r="E18" s="47">
        <f>'1. Assumptions'!$B$165</f>
        <v>3446884.3418898806</v>
      </c>
      <c r="F18" s="47">
        <f>'1. Assumptions'!$B$165</f>
        <v>3446884.3418898806</v>
      </c>
      <c r="G18" s="47">
        <f>'1. Assumptions'!$B$165</f>
        <v>3446884.3418898806</v>
      </c>
      <c r="H18" s="47">
        <f>'1. Assumptions'!$B$165</f>
        <v>3446884.3418898806</v>
      </c>
      <c r="I18" s="47">
        <f>'1. Assumptions'!$B$165</f>
        <v>3446884.3418898806</v>
      </c>
      <c r="J18" s="47">
        <f>'1. Assumptions'!$B$165</f>
        <v>3446884.3418898806</v>
      </c>
      <c r="K18" s="47">
        <f>'1. Assumptions'!$B$165</f>
        <v>3446884.3418898806</v>
      </c>
      <c r="L18" s="47">
        <f>'1. Assumptions'!$B$165</f>
        <v>3446884.3418898806</v>
      </c>
      <c r="M18" s="47">
        <f>'1. Assumptions'!$B$165</f>
        <v>3446884.3418898806</v>
      </c>
    </row>
    <row r="19" spans="1:45" x14ac:dyDescent="0.2">
      <c r="A19" s="3" t="s">
        <v>72</v>
      </c>
      <c r="B19" s="47">
        <f>'1. Assumptions'!$B$130</f>
        <v>4889437.5474330364</v>
      </c>
      <c r="C19" s="47">
        <f>'1. Assumptions'!$B$130</f>
        <v>4889437.5474330364</v>
      </c>
      <c r="D19" s="47">
        <f>'1. Assumptions'!$B$130</f>
        <v>4889437.5474330364</v>
      </c>
      <c r="E19" s="47">
        <f>'1. Assumptions'!$B$130</f>
        <v>4889437.5474330364</v>
      </c>
      <c r="F19" s="47">
        <f>'1. Assumptions'!$B$130</f>
        <v>4889437.5474330364</v>
      </c>
      <c r="G19" s="47">
        <f>'1. Assumptions'!$B$130</f>
        <v>4889437.5474330364</v>
      </c>
      <c r="H19" s="47">
        <f>'1. Assumptions'!$B$130</f>
        <v>4889437.5474330364</v>
      </c>
      <c r="I19" s="47">
        <f>'1. Assumptions'!$B$130</f>
        <v>4889437.5474330364</v>
      </c>
      <c r="J19" s="47">
        <f>'1. Assumptions'!$B$130</f>
        <v>4889437.5474330364</v>
      </c>
      <c r="K19" s="47">
        <f>'1. Assumptions'!$B$130</f>
        <v>4889437.5474330364</v>
      </c>
      <c r="L19" s="47">
        <f>'1. Assumptions'!$B$130</f>
        <v>4889437.5474330364</v>
      </c>
      <c r="M19" s="47">
        <f>'1. Assumptions'!$B$130</f>
        <v>4889437.5474330364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</row>
    <row r="20" spans="1:45" x14ac:dyDescent="0.2">
      <c r="A20" s="3" t="s">
        <v>269</v>
      </c>
      <c r="B20" s="47">
        <f>'Projected BS'!$C$60/12</f>
        <v>18622.516666666666</v>
      </c>
      <c r="C20" s="47">
        <f>'Projected BS'!$C$60/12</f>
        <v>18622.516666666666</v>
      </c>
      <c r="D20" s="47">
        <f>'Projected BS'!$C$60/12</f>
        <v>18622.516666666666</v>
      </c>
      <c r="E20" s="47">
        <f>'Projected BS'!$C$60/12</f>
        <v>18622.516666666666</v>
      </c>
      <c r="F20" s="47">
        <f>'Projected BS'!$C$60/12</f>
        <v>18622.516666666666</v>
      </c>
      <c r="G20" s="47">
        <f>'Projected BS'!$C$60/12</f>
        <v>18622.516666666666</v>
      </c>
      <c r="H20" s="47">
        <f>'Projected BS'!$C$60/12</f>
        <v>18622.516666666666</v>
      </c>
      <c r="I20" s="47">
        <f>'Projected BS'!$C$60/12</f>
        <v>18622.516666666666</v>
      </c>
      <c r="J20" s="47">
        <f>'Projected BS'!$C$60/12</f>
        <v>18622.516666666666</v>
      </c>
      <c r="K20" s="47">
        <f>'Projected BS'!$C$60/12</f>
        <v>18622.516666666666</v>
      </c>
      <c r="L20" s="47">
        <f>'Projected BS'!$C$60/12</f>
        <v>18622.516666666666</v>
      </c>
      <c r="M20" s="47">
        <f>'Projected BS'!$C$60/12</f>
        <v>18622.516666666666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</row>
    <row r="21" spans="1:45" x14ac:dyDescent="0.2">
      <c r="A21" s="3" t="s">
        <v>73</v>
      </c>
      <c r="B21" s="47">
        <f>'1. Assumptions'!B176</f>
        <v>240189.78460833151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45" x14ac:dyDescent="0.2">
      <c r="A22" s="3" t="s">
        <v>74</v>
      </c>
      <c r="B22" s="46">
        <f>'1. Assumptions'!B122</f>
        <v>414720</v>
      </c>
      <c r="C22" s="46">
        <v>414720</v>
      </c>
      <c r="D22" s="46">
        <v>414720</v>
      </c>
      <c r="E22" s="46">
        <v>414720</v>
      </c>
      <c r="F22" s="46">
        <v>414720</v>
      </c>
      <c r="G22" s="46">
        <v>414720</v>
      </c>
      <c r="H22" s="46">
        <v>414720</v>
      </c>
      <c r="I22" s="46">
        <v>414720</v>
      </c>
      <c r="J22" s="46">
        <v>414720</v>
      </c>
      <c r="K22" s="46">
        <v>414720</v>
      </c>
      <c r="L22" s="46">
        <v>414720</v>
      </c>
      <c r="M22" s="46">
        <v>414720</v>
      </c>
    </row>
    <row r="23" spans="1:45" x14ac:dyDescent="0.2">
      <c r="A23" s="3" t="s">
        <v>75</v>
      </c>
      <c r="B23" s="47">
        <v>2500</v>
      </c>
      <c r="C23" s="47">
        <v>2500</v>
      </c>
      <c r="D23" s="47">
        <v>2500</v>
      </c>
      <c r="E23" s="47">
        <v>2500</v>
      </c>
      <c r="F23" s="47">
        <v>2500</v>
      </c>
      <c r="G23" s="47">
        <v>2500</v>
      </c>
      <c r="H23" s="47">
        <v>2500</v>
      </c>
      <c r="I23" s="47">
        <v>2500</v>
      </c>
      <c r="J23" s="47">
        <v>2500</v>
      </c>
      <c r="K23" s="47">
        <v>2500</v>
      </c>
      <c r="L23" s="47">
        <v>2500</v>
      </c>
      <c r="M23" s="47">
        <v>2500</v>
      </c>
    </row>
    <row r="24" spans="1:45" x14ac:dyDescent="0.2">
      <c r="A24" s="3" t="s">
        <v>76</v>
      </c>
      <c r="B24" s="48">
        <f>'1. Assumptions'!$B$137</f>
        <v>2073.6</v>
      </c>
      <c r="C24" s="48">
        <f>'1. Assumptions'!$B$137</f>
        <v>2073.6</v>
      </c>
      <c r="D24" s="48">
        <f>'1. Assumptions'!$B$137</f>
        <v>2073.6</v>
      </c>
      <c r="E24" s="48">
        <f>'1. Assumptions'!$B$137</f>
        <v>2073.6</v>
      </c>
      <c r="F24" s="48">
        <f>'1. Assumptions'!$B$137</f>
        <v>2073.6</v>
      </c>
      <c r="G24" s="48">
        <f>'1. Assumptions'!$B$137</f>
        <v>2073.6</v>
      </c>
      <c r="H24" s="48">
        <f>'1. Assumptions'!$B$137</f>
        <v>2073.6</v>
      </c>
      <c r="I24" s="48">
        <f>'1. Assumptions'!$B$137</f>
        <v>2073.6</v>
      </c>
      <c r="J24" s="48">
        <f>'1. Assumptions'!$B$137</f>
        <v>2073.6</v>
      </c>
      <c r="K24" s="48">
        <f>'1. Assumptions'!$B$137</f>
        <v>2073.6</v>
      </c>
      <c r="L24" s="48">
        <f>'1. Assumptions'!$B$137</f>
        <v>2073.6</v>
      </c>
      <c r="M24" s="48">
        <f>'1. Assumptions'!$B$137</f>
        <v>2073.6</v>
      </c>
    </row>
    <row r="25" spans="1:45" x14ac:dyDescent="0.2">
      <c r="A25" s="3" t="s">
        <v>77</v>
      </c>
      <c r="B25" s="46">
        <f>'1. Assumptions'!$B$141</f>
        <v>41472</v>
      </c>
      <c r="C25" s="46">
        <f>'1. Assumptions'!$B$141</f>
        <v>41472</v>
      </c>
      <c r="D25" s="46">
        <f>'1. Assumptions'!$B$141</f>
        <v>41472</v>
      </c>
      <c r="E25" s="46">
        <f>'1. Assumptions'!$B$141</f>
        <v>41472</v>
      </c>
      <c r="F25" s="46">
        <f>'1. Assumptions'!$B$141</f>
        <v>41472</v>
      </c>
      <c r="G25" s="46">
        <f>'1. Assumptions'!$B$141</f>
        <v>41472</v>
      </c>
      <c r="H25" s="46">
        <f>'1. Assumptions'!$B$141</f>
        <v>41472</v>
      </c>
      <c r="I25" s="46">
        <f>'1. Assumptions'!$B$141</f>
        <v>41472</v>
      </c>
      <c r="J25" s="46">
        <f>'1. Assumptions'!$B$141</f>
        <v>41472</v>
      </c>
      <c r="K25" s="46">
        <f>'1. Assumptions'!$B$141</f>
        <v>41472</v>
      </c>
      <c r="L25" s="46">
        <f>'1. Assumptions'!$B$141</f>
        <v>41472</v>
      </c>
      <c r="M25" s="46">
        <f>'1. Assumptions'!$B$141</f>
        <v>41472</v>
      </c>
    </row>
    <row r="26" spans="1:45" x14ac:dyDescent="0.2">
      <c r="A26" s="3" t="s">
        <v>78</v>
      </c>
      <c r="B26" s="46">
        <f>'1. Assumptions'!$B$143</f>
        <v>550</v>
      </c>
      <c r="C26" s="46">
        <f>'1. Assumptions'!$B$143</f>
        <v>550</v>
      </c>
      <c r="D26" s="46">
        <f>'1. Assumptions'!$B$143</f>
        <v>550</v>
      </c>
      <c r="E26" s="46">
        <f>'1. Assumptions'!$B$143</f>
        <v>550</v>
      </c>
      <c r="F26" s="46">
        <f>'1. Assumptions'!$B$143</f>
        <v>550</v>
      </c>
      <c r="G26" s="46">
        <f>'1. Assumptions'!$B$143</f>
        <v>550</v>
      </c>
      <c r="H26" s="46">
        <f>'1. Assumptions'!$B$143</f>
        <v>550</v>
      </c>
      <c r="I26" s="46">
        <f>'1. Assumptions'!$B$143</f>
        <v>550</v>
      </c>
      <c r="J26" s="46">
        <f>'1. Assumptions'!$B$143</f>
        <v>550</v>
      </c>
      <c r="K26" s="46">
        <f>'1. Assumptions'!$B$143</f>
        <v>550</v>
      </c>
      <c r="L26" s="46">
        <f>'1. Assumptions'!$B$143</f>
        <v>550</v>
      </c>
      <c r="M26" s="46">
        <f>'1. Assumptions'!$B$143</f>
        <v>550</v>
      </c>
    </row>
    <row r="27" spans="1:45" x14ac:dyDescent="0.2">
      <c r="A27" s="3" t="s">
        <v>87</v>
      </c>
      <c r="B27" s="46">
        <f>'1. Assumptions'!$B$171</f>
        <v>33023.4</v>
      </c>
      <c r="C27" s="46">
        <f>'1. Assumptions'!$B$171</f>
        <v>33023.4</v>
      </c>
      <c r="D27" s="46">
        <f>'1. Assumptions'!$B$171</f>
        <v>33023.4</v>
      </c>
      <c r="E27" s="46">
        <f>'1. Assumptions'!$B$171</f>
        <v>33023.4</v>
      </c>
      <c r="F27" s="46">
        <f>'1. Assumptions'!$B$171</f>
        <v>33023.4</v>
      </c>
      <c r="G27" s="46">
        <f>'1. Assumptions'!$B$171</f>
        <v>33023.4</v>
      </c>
      <c r="H27" s="46">
        <f>'1. Assumptions'!$B$171</f>
        <v>33023.4</v>
      </c>
      <c r="I27" s="46">
        <f>'1. Assumptions'!$B$171</f>
        <v>33023.4</v>
      </c>
      <c r="J27" s="46">
        <f>'1. Assumptions'!$B$171</f>
        <v>33023.4</v>
      </c>
      <c r="K27" s="46">
        <f>'1. Assumptions'!$B$171</f>
        <v>33023.4</v>
      </c>
      <c r="L27" s="46">
        <f>'1. Assumptions'!$B$171</f>
        <v>33023.4</v>
      </c>
      <c r="M27" s="46">
        <f>'1. Assumptions'!$B$171</f>
        <v>33023.4</v>
      </c>
    </row>
    <row r="28" spans="1:45" x14ac:dyDescent="0.2">
      <c r="A28" s="3" t="s">
        <v>79</v>
      </c>
      <c r="B28" s="46">
        <f>'1. Assumptions'!$B$145</f>
        <v>15000</v>
      </c>
      <c r="C28" s="46">
        <f>'1. Assumptions'!$B$145</f>
        <v>15000</v>
      </c>
      <c r="D28" s="46">
        <f>'1. Assumptions'!$B$145</f>
        <v>15000</v>
      </c>
      <c r="E28" s="46">
        <f>'1. Assumptions'!$B$145</f>
        <v>15000</v>
      </c>
      <c r="F28" s="46">
        <f>'1. Assumptions'!$B$145</f>
        <v>15000</v>
      </c>
      <c r="G28" s="46">
        <f>'1. Assumptions'!$B$145</f>
        <v>15000</v>
      </c>
      <c r="H28" s="46">
        <f>'1. Assumptions'!$B$145</f>
        <v>15000</v>
      </c>
      <c r="I28" s="46">
        <f>'1. Assumptions'!$B$145</f>
        <v>15000</v>
      </c>
      <c r="J28" s="46">
        <f>'1. Assumptions'!$B$145</f>
        <v>15000</v>
      </c>
      <c r="K28" s="46">
        <f>'1. Assumptions'!$B$145</f>
        <v>15000</v>
      </c>
      <c r="L28" s="46">
        <f>'1. Assumptions'!$B$145</f>
        <v>15000</v>
      </c>
      <c r="M28" s="46">
        <f>'1. Assumptions'!$B$145</f>
        <v>15000</v>
      </c>
    </row>
    <row r="29" spans="1:45" x14ac:dyDescent="0.2">
      <c r="A29" s="3" t="s">
        <v>80</v>
      </c>
      <c r="B29" s="46">
        <f>SUM(B16:B17)</f>
        <v>12254748.459402084</v>
      </c>
      <c r="C29" s="46">
        <f t="shared" ref="C29:M29" si="8">SUM(C16:C17)</f>
        <v>10427916.794010416</v>
      </c>
      <c r="D29" s="46">
        <f t="shared" si="8"/>
        <v>12494938.244010415</v>
      </c>
      <c r="E29" s="46">
        <f t="shared" si="8"/>
        <v>11805931.094010416</v>
      </c>
      <c r="F29" s="46">
        <f t="shared" si="8"/>
        <v>12494938.244010415</v>
      </c>
      <c r="G29" s="46">
        <f t="shared" si="8"/>
        <v>11805931.094010416</v>
      </c>
      <c r="H29" s="46">
        <f t="shared" si="8"/>
        <v>12494938.244010415</v>
      </c>
      <c r="I29" s="46">
        <f>SUM(I16:I17)</f>
        <v>12494938.244010415</v>
      </c>
      <c r="J29" s="46">
        <f t="shared" si="8"/>
        <v>11805931.094010416</v>
      </c>
      <c r="K29" s="46">
        <f t="shared" si="8"/>
        <v>12494938.244010415</v>
      </c>
      <c r="L29" s="46">
        <f t="shared" si="8"/>
        <v>11805931.094010416</v>
      </c>
      <c r="M29" s="46">
        <f t="shared" si="8"/>
        <v>12494938.244010415</v>
      </c>
    </row>
    <row r="30" spans="1:45" x14ac:dyDescent="0.2">
      <c r="A30" s="3" t="s">
        <v>81</v>
      </c>
      <c r="B30" s="46">
        <f>-'Projected BS'!$C$75</f>
        <v>-28897.052771046176</v>
      </c>
      <c r="C30" s="46">
        <f>-'Projected BS'!$C$75</f>
        <v>-28897.052771046176</v>
      </c>
      <c r="D30" s="46">
        <f>-'Projected BS'!$C$75</f>
        <v>-28897.052771046176</v>
      </c>
      <c r="E30" s="46">
        <f>-'Projected BS'!$C$75</f>
        <v>-28897.052771046176</v>
      </c>
      <c r="F30" s="46">
        <f>-'Projected BS'!$C$75</f>
        <v>-28897.052771046176</v>
      </c>
      <c r="G30" s="46">
        <f>-'Projected BS'!$C$75</f>
        <v>-28897.052771046176</v>
      </c>
      <c r="H30" s="46">
        <f>-'Projected BS'!$C$75</f>
        <v>-28897.052771046176</v>
      </c>
      <c r="I30" s="46">
        <f>-'Projected BS'!$C$75</f>
        <v>-28897.052771046176</v>
      </c>
      <c r="J30" s="46">
        <f>-'Projected BS'!$C$75</f>
        <v>-28897.052771046176</v>
      </c>
      <c r="K30" s="46">
        <f>-'Projected BS'!$C$75</f>
        <v>-28897.052771046176</v>
      </c>
      <c r="L30" s="46">
        <f>-'Projected BS'!$C$75</f>
        <v>-28897.052771046176</v>
      </c>
      <c r="M30" s="46">
        <f>-'Projected BS'!$C$75</f>
        <v>-28897.052771046176</v>
      </c>
    </row>
    <row r="31" spans="1:45" x14ac:dyDescent="0.2">
      <c r="A31" s="3" t="s">
        <v>82</v>
      </c>
      <c r="B31" s="46">
        <f>SUM(B29,B30)</f>
        <v>12225851.406631038</v>
      </c>
      <c r="C31" s="46">
        <f t="shared" ref="C31:M31" si="9">SUM(C29,C30)</f>
        <v>10399019.741239369</v>
      </c>
      <c r="D31" s="46">
        <f t="shared" si="9"/>
        <v>12466041.191239368</v>
      </c>
      <c r="E31" s="46">
        <f t="shared" si="9"/>
        <v>11777034.04123937</v>
      </c>
      <c r="F31" s="46">
        <f t="shared" si="9"/>
        <v>12466041.191239368</v>
      </c>
      <c r="G31" s="46">
        <f t="shared" si="9"/>
        <v>11777034.04123937</v>
      </c>
      <c r="H31" s="46">
        <f t="shared" si="9"/>
        <v>12466041.191239368</v>
      </c>
      <c r="I31" s="46">
        <f t="shared" si="9"/>
        <v>12466041.191239368</v>
      </c>
      <c r="J31" s="46">
        <f t="shared" si="9"/>
        <v>11777034.04123937</v>
      </c>
      <c r="K31" s="46">
        <f t="shared" si="9"/>
        <v>12466041.191239368</v>
      </c>
      <c r="L31" s="46">
        <f t="shared" si="9"/>
        <v>11777034.04123937</v>
      </c>
      <c r="M31" s="46">
        <f t="shared" si="9"/>
        <v>12466041.191239368</v>
      </c>
    </row>
    <row r="32" spans="1:45" x14ac:dyDescent="0.2">
      <c r="A32" s="3" t="s">
        <v>83</v>
      </c>
      <c r="B32" s="46">
        <f>-B31*27%</f>
        <v>-3300979.8797903806</v>
      </c>
      <c r="C32" s="46">
        <f t="shared" ref="C32:L32" si="10">-C31*27%</f>
        <v>-2807735.3301346297</v>
      </c>
      <c r="D32" s="46">
        <f t="shared" si="10"/>
        <v>-3365831.1216346296</v>
      </c>
      <c r="E32" s="46">
        <f t="shared" si="10"/>
        <v>-3179799.1911346302</v>
      </c>
      <c r="F32" s="46">
        <f t="shared" si="10"/>
        <v>-3365831.1216346296</v>
      </c>
      <c r="G32" s="46">
        <f t="shared" si="10"/>
        <v>-3179799.1911346302</v>
      </c>
      <c r="H32" s="46">
        <f t="shared" si="10"/>
        <v>-3365831.1216346296</v>
      </c>
      <c r="I32" s="46">
        <f t="shared" si="10"/>
        <v>-3365831.1216346296</v>
      </c>
      <c r="J32" s="46">
        <f t="shared" si="10"/>
        <v>-3179799.1911346302</v>
      </c>
      <c r="K32" s="46">
        <f t="shared" si="10"/>
        <v>-3365831.1216346296</v>
      </c>
      <c r="L32" s="46">
        <f t="shared" si="10"/>
        <v>-3179799.1911346302</v>
      </c>
      <c r="M32" s="46">
        <f>-M31*27%</f>
        <v>-3365831.1216346296</v>
      </c>
    </row>
    <row r="33" spans="1:13" x14ac:dyDescent="0.2">
      <c r="A33" s="3" t="s">
        <v>84</v>
      </c>
      <c r="B33" s="46">
        <f>SUM(B31:B32)</f>
        <v>8924871.526840657</v>
      </c>
      <c r="C33" s="46">
        <f t="shared" ref="C33:M33" si="11">SUM(C31:C32)</f>
        <v>7591284.4111047387</v>
      </c>
      <c r="D33" s="46">
        <f t="shared" si="11"/>
        <v>9100210.0696047395</v>
      </c>
      <c r="E33" s="46">
        <f t="shared" si="11"/>
        <v>8597234.8501047399</v>
      </c>
      <c r="F33" s="46">
        <f t="shared" si="11"/>
        <v>9100210.0696047395</v>
      </c>
      <c r="G33" s="46">
        <f t="shared" si="11"/>
        <v>8597234.8501047399</v>
      </c>
      <c r="H33" s="46">
        <f t="shared" si="11"/>
        <v>9100210.0696047395</v>
      </c>
      <c r="I33" s="46">
        <f t="shared" si="11"/>
        <v>9100210.0696047395</v>
      </c>
      <c r="J33" s="46">
        <f t="shared" si="11"/>
        <v>8597234.8501047399</v>
      </c>
      <c r="K33" s="46">
        <f t="shared" si="11"/>
        <v>9100210.0696047395</v>
      </c>
      <c r="L33" s="46">
        <f t="shared" si="11"/>
        <v>8597234.8501047399</v>
      </c>
      <c r="M33" s="46">
        <f t="shared" si="11"/>
        <v>9100210.0696047395</v>
      </c>
    </row>
  </sheetData>
  <mergeCells count="1">
    <mergeCell ref="B3:M3"/>
  </mergeCells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A449-CEC4-7E4B-9FBC-2AA95025AC8D}">
  <sheetPr>
    <tabColor theme="9"/>
  </sheetPr>
  <dimension ref="A1:K33"/>
  <sheetViews>
    <sheetView zoomScale="80" zoomScaleNormal="80" workbookViewId="0">
      <selection activeCell="D20" sqref="D20:K20"/>
    </sheetView>
  </sheetViews>
  <sheetFormatPr baseColWidth="10" defaultRowHeight="16" x14ac:dyDescent="0.2"/>
  <cols>
    <col min="1" max="1" width="122" bestFit="1" customWidth="1"/>
    <col min="2" max="2" width="16.83203125" bestFit="1" customWidth="1"/>
    <col min="3" max="6" width="14.1640625" bestFit="1" customWidth="1"/>
    <col min="7" max="11" width="14.83203125" bestFit="1" customWidth="1"/>
  </cols>
  <sheetData>
    <row r="1" spans="1:11" ht="21" x14ac:dyDescent="0.25">
      <c r="A1" s="10" t="s">
        <v>85</v>
      </c>
    </row>
    <row r="2" spans="1:11" ht="17" thickBot="1" x14ac:dyDescent="0.25"/>
    <row r="3" spans="1:11" ht="17" thickBot="1" x14ac:dyDescent="0.25">
      <c r="A3" s="9" t="s">
        <v>64</v>
      </c>
      <c r="B3" s="145" t="s">
        <v>65</v>
      </c>
      <c r="C3" s="146"/>
      <c r="D3" s="146"/>
      <c r="E3" s="146"/>
      <c r="F3" s="146"/>
      <c r="G3" s="146"/>
      <c r="H3" s="146"/>
      <c r="I3" s="146"/>
      <c r="J3" s="146"/>
      <c r="K3" s="147"/>
    </row>
    <row r="4" spans="1:11" x14ac:dyDescent="0.2">
      <c r="A4" s="11"/>
      <c r="B4" s="61">
        <v>2026</v>
      </c>
      <c r="C4" s="61">
        <v>2027</v>
      </c>
      <c r="D4" s="61">
        <v>2028</v>
      </c>
      <c r="E4" s="61">
        <v>2029</v>
      </c>
      <c r="F4" s="61">
        <v>2030</v>
      </c>
      <c r="G4" s="61">
        <v>2031</v>
      </c>
      <c r="H4" s="61">
        <v>2032</v>
      </c>
      <c r="I4" s="61">
        <v>2033</v>
      </c>
      <c r="J4" s="61">
        <v>2034</v>
      </c>
      <c r="K4" s="61">
        <v>2035</v>
      </c>
    </row>
    <row r="5" spans="1:11" x14ac:dyDescent="0.2">
      <c r="A5" t="s">
        <v>30</v>
      </c>
      <c r="B5" s="46">
        <f>SUM(B6:B14)</f>
        <v>79271156.25</v>
      </c>
      <c r="C5" s="46">
        <f t="shared" ref="C5:K5" si="0">SUM(C6:C14)</f>
        <v>91161829.6875</v>
      </c>
      <c r="D5" s="46">
        <f t="shared" si="0"/>
        <v>104836104.14062499</v>
      </c>
      <c r="E5" s="46">
        <f t="shared" si="0"/>
        <v>120561519.76171874</v>
      </c>
      <c r="F5" s="46">
        <f t="shared" si="0"/>
        <v>138645747.72597653</v>
      </c>
      <c r="G5" s="46">
        <f t="shared" si="0"/>
        <v>159442609.884873</v>
      </c>
      <c r="H5" s="46">
        <f t="shared" si="0"/>
        <v>183359001.36760393</v>
      </c>
      <c r="I5" s="46">
        <f t="shared" si="0"/>
        <v>210862851.57274455</v>
      </c>
      <c r="J5" s="46">
        <f t="shared" si="0"/>
        <v>242492279.30865616</v>
      </c>
      <c r="K5" s="46">
        <f t="shared" si="0"/>
        <v>278866121.20495456</v>
      </c>
    </row>
    <row r="6" spans="1:11" x14ac:dyDescent="0.2">
      <c r="A6" s="3" t="s">
        <v>1</v>
      </c>
      <c r="B6" s="46">
        <f>SUM('2026 SOPL (Worst Case Scenario)'!B6:M6)</f>
        <v>5637060</v>
      </c>
      <c r="C6" s="46">
        <f t="shared" ref="C6:K6" si="1">B6*1.15</f>
        <v>6482618.9999999991</v>
      </c>
      <c r="D6" s="46">
        <f t="shared" si="1"/>
        <v>7455011.8499999987</v>
      </c>
      <c r="E6" s="46">
        <f t="shared" si="1"/>
        <v>8573263.6274999976</v>
      </c>
      <c r="F6" s="46">
        <f t="shared" si="1"/>
        <v>9859253.1716249958</v>
      </c>
      <c r="G6" s="46">
        <f t="shared" si="1"/>
        <v>11338141.147368744</v>
      </c>
      <c r="H6" s="46">
        <f t="shared" si="1"/>
        <v>13038862.319474055</v>
      </c>
      <c r="I6" s="46">
        <f t="shared" si="1"/>
        <v>14994691.667395161</v>
      </c>
      <c r="J6" s="46">
        <f t="shared" si="1"/>
        <v>17243895.417504434</v>
      </c>
      <c r="K6" s="46">
        <f t="shared" si="1"/>
        <v>19830479.730130099</v>
      </c>
    </row>
    <row r="7" spans="1:11" x14ac:dyDescent="0.2">
      <c r="A7" s="3" t="s">
        <v>2</v>
      </c>
      <c r="B7" s="46">
        <f>SUM('2026 SOPL (Worst Case Scenario)'!B7:M7)</f>
        <v>16911180</v>
      </c>
      <c r="C7" s="46">
        <f t="shared" ref="C7:K7" si="2">B7*1.15</f>
        <v>19447857</v>
      </c>
      <c r="D7" s="46">
        <f t="shared" si="2"/>
        <v>22365035.549999997</v>
      </c>
      <c r="E7" s="46">
        <f t="shared" si="2"/>
        <v>25719790.882499993</v>
      </c>
      <c r="F7" s="46">
        <f t="shared" si="2"/>
        <v>29577759.514874991</v>
      </c>
      <c r="G7" s="46">
        <f t="shared" si="2"/>
        <v>34014423.442106239</v>
      </c>
      <c r="H7" s="46">
        <f t="shared" si="2"/>
        <v>39116586.958422169</v>
      </c>
      <c r="I7" s="46">
        <f t="shared" si="2"/>
        <v>44984075.002185494</v>
      </c>
      <c r="J7" s="46">
        <f t="shared" si="2"/>
        <v>51731686.252513312</v>
      </c>
      <c r="K7" s="46">
        <f t="shared" si="2"/>
        <v>59491439.190390304</v>
      </c>
    </row>
    <row r="8" spans="1:11" x14ac:dyDescent="0.2">
      <c r="A8" s="3" t="s">
        <v>3</v>
      </c>
      <c r="B8" s="46">
        <f>SUM('2026 SOPL (Worst Case Scenario)'!B8:M8)</f>
        <v>8455590</v>
      </c>
      <c r="C8" s="46">
        <f t="shared" ref="C8:K8" si="3">B8*1.15</f>
        <v>9723928.5</v>
      </c>
      <c r="D8" s="46">
        <f t="shared" si="3"/>
        <v>11182517.774999999</v>
      </c>
      <c r="E8" s="46">
        <f t="shared" si="3"/>
        <v>12859895.441249996</v>
      </c>
      <c r="F8" s="46">
        <f t="shared" si="3"/>
        <v>14788879.757437496</v>
      </c>
      <c r="G8" s="46">
        <f t="shared" si="3"/>
        <v>17007211.72105312</v>
      </c>
      <c r="H8" s="46">
        <f t="shared" si="3"/>
        <v>19558293.479211085</v>
      </c>
      <c r="I8" s="46">
        <f t="shared" si="3"/>
        <v>22492037.501092747</v>
      </c>
      <c r="J8" s="46">
        <f t="shared" si="3"/>
        <v>25865843.126256656</v>
      </c>
      <c r="K8" s="46">
        <f t="shared" si="3"/>
        <v>29745719.595195152</v>
      </c>
    </row>
    <row r="9" spans="1:11" x14ac:dyDescent="0.2">
      <c r="A9" s="3" t="s">
        <v>13</v>
      </c>
      <c r="B9" s="46">
        <f>SUM('2026 SOPL (Worst Case Scenario)'!B9:M9)</f>
        <v>2536677</v>
      </c>
      <c r="C9" s="46">
        <f t="shared" ref="C9:K9" si="4">B9*1.15</f>
        <v>2917178.55</v>
      </c>
      <c r="D9" s="46">
        <f t="shared" si="4"/>
        <v>3354755.3324999996</v>
      </c>
      <c r="E9" s="46">
        <f t="shared" si="4"/>
        <v>3857968.6323749991</v>
      </c>
      <c r="F9" s="46">
        <f t="shared" si="4"/>
        <v>4436663.9272312485</v>
      </c>
      <c r="G9" s="46">
        <f t="shared" si="4"/>
        <v>5102163.5163159352</v>
      </c>
      <c r="H9" s="46">
        <f t="shared" si="4"/>
        <v>5867488.0437633246</v>
      </c>
      <c r="I9" s="46">
        <f t="shared" si="4"/>
        <v>6747611.2503278228</v>
      </c>
      <c r="J9" s="46">
        <f t="shared" si="4"/>
        <v>7759752.9378769957</v>
      </c>
      <c r="K9" s="46">
        <f t="shared" si="4"/>
        <v>8923715.8785585444</v>
      </c>
    </row>
    <row r="10" spans="1:11" x14ac:dyDescent="0.2">
      <c r="A10" s="3" t="s">
        <v>14</v>
      </c>
      <c r="B10" s="46">
        <f>SUM('2026 SOPL (Worst Case Scenario)'!B10:M10)</f>
        <v>1550191.5</v>
      </c>
      <c r="C10" s="46">
        <f t="shared" ref="C10:K10" si="5">B10*1.15</f>
        <v>1782720.2249999999</v>
      </c>
      <c r="D10" s="46">
        <f t="shared" si="5"/>
        <v>2050128.2587499996</v>
      </c>
      <c r="E10" s="46">
        <f t="shared" si="5"/>
        <v>2357647.4975624993</v>
      </c>
      <c r="F10" s="46">
        <f t="shared" si="5"/>
        <v>2711294.6221968741</v>
      </c>
      <c r="G10" s="46">
        <f t="shared" si="5"/>
        <v>3117988.8155264049</v>
      </c>
      <c r="H10" s="46">
        <f t="shared" si="5"/>
        <v>3585687.1378553654</v>
      </c>
      <c r="I10" s="46">
        <f t="shared" si="5"/>
        <v>4123540.2085336698</v>
      </c>
      <c r="J10" s="46">
        <f t="shared" si="5"/>
        <v>4742071.2398137199</v>
      </c>
      <c r="K10" s="46">
        <f t="shared" si="5"/>
        <v>5453381.9257857772</v>
      </c>
    </row>
    <row r="11" spans="1:11" x14ac:dyDescent="0.2">
      <c r="A11" s="3" t="s">
        <v>24</v>
      </c>
      <c r="B11" s="46">
        <f>SUM('2026 SOPL (Worst Case Scenario)'!B11:M11)</f>
        <v>20927585.25</v>
      </c>
      <c r="C11" s="46">
        <f t="shared" ref="C11:K11" si="6">B11*1.15</f>
        <v>24066723.037499998</v>
      </c>
      <c r="D11" s="46">
        <f t="shared" si="6"/>
        <v>27676731.493124995</v>
      </c>
      <c r="E11" s="46">
        <f t="shared" si="6"/>
        <v>31828241.217093743</v>
      </c>
      <c r="F11" s="46">
        <f t="shared" si="6"/>
        <v>36602477.399657801</v>
      </c>
      <c r="G11" s="46">
        <f t="shared" si="6"/>
        <v>42092849.009606466</v>
      </c>
      <c r="H11" s="46">
        <f t="shared" si="6"/>
        <v>48406776.361047432</v>
      </c>
      <c r="I11" s="46">
        <f t="shared" si="6"/>
        <v>55667792.815204546</v>
      </c>
      <c r="J11" s="46">
        <f t="shared" si="6"/>
        <v>64017961.737485223</v>
      </c>
      <c r="K11" s="46">
        <f t="shared" si="6"/>
        <v>73620655.998108</v>
      </c>
    </row>
    <row r="12" spans="1:11" x14ac:dyDescent="0.2">
      <c r="A12" s="3" t="s">
        <v>25</v>
      </c>
      <c r="B12" s="46">
        <f>SUM('2026 SOPL (Worst Case Scenario)'!B12:M12)</f>
        <v>3523162.5</v>
      </c>
      <c r="C12" s="46">
        <f t="shared" ref="C12:K12" si="7">B12*1.15</f>
        <v>4051636.8749999995</v>
      </c>
      <c r="D12" s="46">
        <f t="shared" si="7"/>
        <v>4659382.4062499991</v>
      </c>
      <c r="E12" s="46">
        <f t="shared" si="7"/>
        <v>5358289.7671874985</v>
      </c>
      <c r="F12" s="46">
        <f t="shared" si="7"/>
        <v>6162033.2322656224</v>
      </c>
      <c r="G12" s="46">
        <f t="shared" si="7"/>
        <v>7086338.217105465</v>
      </c>
      <c r="H12" s="46">
        <f t="shared" si="7"/>
        <v>8149288.9496712843</v>
      </c>
      <c r="I12" s="46">
        <f t="shared" si="7"/>
        <v>9371682.2921219766</v>
      </c>
      <c r="J12" s="46">
        <f t="shared" si="7"/>
        <v>10777434.635940272</v>
      </c>
      <c r="K12" s="46">
        <f t="shared" si="7"/>
        <v>12394049.831331313</v>
      </c>
    </row>
    <row r="13" spans="1:11" x14ac:dyDescent="0.2">
      <c r="A13" s="3" t="s">
        <v>56</v>
      </c>
      <c r="B13" s="46">
        <f>SUM('2026 SOPL (Worst Case Scenario)'!B13:M13)</f>
        <v>3288285.0000000005</v>
      </c>
      <c r="C13" s="46">
        <f t="shared" ref="C13:K13" si="8">B13*1.15</f>
        <v>3781527.7500000005</v>
      </c>
      <c r="D13" s="46">
        <f t="shared" si="8"/>
        <v>4348756.9125000006</v>
      </c>
      <c r="E13" s="46">
        <f t="shared" si="8"/>
        <v>5001070.4493749999</v>
      </c>
      <c r="F13" s="46">
        <f t="shared" si="8"/>
        <v>5751231.0167812491</v>
      </c>
      <c r="G13" s="46">
        <f t="shared" si="8"/>
        <v>6613915.6692984356</v>
      </c>
      <c r="H13" s="46">
        <f t="shared" si="8"/>
        <v>7606003.0196932005</v>
      </c>
      <c r="I13" s="46">
        <f t="shared" si="8"/>
        <v>8746903.4726471808</v>
      </c>
      <c r="J13" s="46">
        <f t="shared" si="8"/>
        <v>10058938.993544256</v>
      </c>
      <c r="K13" s="46">
        <f t="shared" si="8"/>
        <v>11567779.842575895</v>
      </c>
    </row>
    <row r="14" spans="1:11" x14ac:dyDescent="0.2">
      <c r="A14" s="5" t="s">
        <v>57</v>
      </c>
      <c r="B14" s="46">
        <f>SUM('2026 SOPL (Worst Case Scenario)'!B14:M14)</f>
        <v>16441425.000000002</v>
      </c>
      <c r="C14" s="46">
        <f t="shared" ref="C14:K14" si="9">B14*1.15</f>
        <v>18907638.75</v>
      </c>
      <c r="D14" s="46">
        <f t="shared" si="9"/>
        <v>21743784.5625</v>
      </c>
      <c r="E14" s="46">
        <f t="shared" si="9"/>
        <v>25005352.246874999</v>
      </c>
      <c r="F14" s="46">
        <f t="shared" si="9"/>
        <v>28756155.083906248</v>
      </c>
      <c r="G14" s="46">
        <f t="shared" si="9"/>
        <v>33069578.346492182</v>
      </c>
      <c r="H14" s="46">
        <f t="shared" si="9"/>
        <v>38030015.098466009</v>
      </c>
      <c r="I14" s="46">
        <f t="shared" si="9"/>
        <v>43734517.363235906</v>
      </c>
      <c r="J14" s="46">
        <f t="shared" si="9"/>
        <v>50294694.967721291</v>
      </c>
      <c r="K14" s="46">
        <f t="shared" si="9"/>
        <v>57838899.212879479</v>
      </c>
    </row>
    <row r="15" spans="1:11" x14ac:dyDescent="0.2">
      <c r="A15" s="3" t="s">
        <v>68</v>
      </c>
      <c r="B15" s="46">
        <f>SUM('2026 SOPL (Worst Case Scenario)'!B15:M15)</f>
        <v>0</v>
      </c>
      <c r="C15" s="46">
        <f t="shared" ref="C15:K15" si="10">B15*1.15</f>
        <v>0</v>
      </c>
      <c r="D15" s="46">
        <f t="shared" si="10"/>
        <v>0</v>
      </c>
      <c r="E15" s="46">
        <f t="shared" si="10"/>
        <v>0</v>
      </c>
      <c r="F15" s="46">
        <f t="shared" si="10"/>
        <v>0</v>
      </c>
      <c r="G15" s="46">
        <f t="shared" si="10"/>
        <v>0</v>
      </c>
      <c r="H15" s="46">
        <f t="shared" si="10"/>
        <v>0</v>
      </c>
      <c r="I15" s="46">
        <f t="shared" si="10"/>
        <v>0</v>
      </c>
      <c r="J15" s="46">
        <f t="shared" si="10"/>
        <v>0</v>
      </c>
      <c r="K15" s="46">
        <f t="shared" si="10"/>
        <v>0</v>
      </c>
    </row>
    <row r="16" spans="1:11" x14ac:dyDescent="0.2">
      <c r="A16" s="3" t="s">
        <v>69</v>
      </c>
      <c r="B16" s="47">
        <f>SUM(B5,B15)</f>
        <v>79271156.25</v>
      </c>
      <c r="C16" s="47">
        <f t="shared" ref="C16:K16" si="11">SUM(C5,C15)</f>
        <v>91161829.6875</v>
      </c>
      <c r="D16" s="47">
        <f t="shared" si="11"/>
        <v>104836104.14062499</v>
      </c>
      <c r="E16" s="47">
        <f t="shared" si="11"/>
        <v>120561519.76171874</v>
      </c>
      <c r="F16" s="47">
        <f t="shared" si="11"/>
        <v>138645747.72597653</v>
      </c>
      <c r="G16" s="47">
        <f t="shared" si="11"/>
        <v>159442609.884873</v>
      </c>
      <c r="H16" s="47">
        <f t="shared" si="11"/>
        <v>183359001.36760393</v>
      </c>
      <c r="I16" s="47">
        <f t="shared" si="11"/>
        <v>210862851.57274455</v>
      </c>
      <c r="J16" s="47">
        <f t="shared" si="11"/>
        <v>242492279.30865616</v>
      </c>
      <c r="K16" s="47">
        <f t="shared" si="11"/>
        <v>278866121.20495456</v>
      </c>
    </row>
    <row r="17" spans="1:11" x14ac:dyDescent="0.2">
      <c r="A17" s="3" t="s">
        <v>70</v>
      </c>
      <c r="B17" s="47">
        <f>-SUM(B18:B28)</f>
        <v>-49957915.106949784</v>
      </c>
      <c r="C17" s="47">
        <f t="shared" ref="C17:K17" si="12">-SUM(C18:C28)</f>
        <v>-56530300.212992251</v>
      </c>
      <c r="D17" s="47">
        <f t="shared" si="12"/>
        <v>-64854168.084941082</v>
      </c>
      <c r="E17" s="47">
        <f t="shared" si="12"/>
        <v>-74785991.137682214</v>
      </c>
      <c r="F17" s="47">
        <f t="shared" si="12"/>
        <v>-86207587.648334548</v>
      </c>
      <c r="G17" s="47">
        <f t="shared" si="12"/>
        <v>-99450409.235584736</v>
      </c>
      <c r="H17" s="47">
        <f t="shared" si="12"/>
        <v>-114555470.62092243</v>
      </c>
      <c r="I17" s="47">
        <f t="shared" si="12"/>
        <v>-131926291.21406075</v>
      </c>
      <c r="J17" s="47">
        <f t="shared" si="12"/>
        <v>-151902734.89616987</v>
      </c>
      <c r="K17" s="47">
        <f t="shared" si="12"/>
        <v>-174875645.13059536</v>
      </c>
    </row>
    <row r="18" spans="1:11" x14ac:dyDescent="0.2">
      <c r="A18" s="3" t="s">
        <v>71</v>
      </c>
      <c r="B18" s="47">
        <f>SUM('2026 SOPL (Worst Case Scenario)'!B18:M18)</f>
        <v>14983328.321428569</v>
      </c>
      <c r="C18" s="46">
        <f t="shared" ref="C18:K18" si="13">B18*1.15</f>
        <v>17230827.569642853</v>
      </c>
      <c r="D18" s="46">
        <f t="shared" si="13"/>
        <v>19815451.705089279</v>
      </c>
      <c r="E18" s="46">
        <f t="shared" si="13"/>
        <v>22787769.460852668</v>
      </c>
      <c r="F18" s="46">
        <f t="shared" si="13"/>
        <v>26205934.879980564</v>
      </c>
      <c r="G18" s="46">
        <f t="shared" si="13"/>
        <v>30136825.111977648</v>
      </c>
      <c r="H18" s="46">
        <f t="shared" si="13"/>
        <v>34657348.878774293</v>
      </c>
      <c r="I18" s="46">
        <f t="shared" si="13"/>
        <v>39855951.210590437</v>
      </c>
      <c r="J18" s="46">
        <f t="shared" si="13"/>
        <v>45834343.892178997</v>
      </c>
      <c r="K18" s="46">
        <f t="shared" si="13"/>
        <v>52709495.476005845</v>
      </c>
    </row>
    <row r="19" spans="1:11" x14ac:dyDescent="0.2">
      <c r="A19" s="3" t="s">
        <v>72</v>
      </c>
      <c r="B19" s="47">
        <f>SUM('2026 SOPL (Worst Case Scenario)'!B19:M19)</f>
        <v>31677368.303571437</v>
      </c>
      <c r="C19" s="46">
        <f t="shared" ref="C19:K19" si="14">B19*1.15</f>
        <v>36428973.549107149</v>
      </c>
      <c r="D19" s="46">
        <f t="shared" si="14"/>
        <v>41893319.581473216</v>
      </c>
      <c r="E19" s="46">
        <f t="shared" si="14"/>
        <v>48177317.518694192</v>
      </c>
      <c r="F19" s="46">
        <f t="shared" si="14"/>
        <v>55403915.146498315</v>
      </c>
      <c r="G19" s="46">
        <f t="shared" si="14"/>
        <v>63714502.418473057</v>
      </c>
      <c r="H19" s="46">
        <f t="shared" si="14"/>
        <v>73271677.78124401</v>
      </c>
      <c r="I19" s="46">
        <f t="shared" si="14"/>
        <v>84262429.448430598</v>
      </c>
      <c r="J19" s="46">
        <f t="shared" si="14"/>
        <v>96901793.865695179</v>
      </c>
      <c r="K19" s="46">
        <f t="shared" si="14"/>
        <v>111437062.94554944</v>
      </c>
    </row>
    <row r="20" spans="1:11" x14ac:dyDescent="0.2">
      <c r="A20" s="3" t="s">
        <v>269</v>
      </c>
      <c r="B20" s="47">
        <f>-SUM('2026 SOPL (Worst Case Scenario)'!B20:M20)</f>
        <v>-107985.60000000002</v>
      </c>
      <c r="C20" s="46">
        <f>-SUM('Projected BS'!C124,'Projected BS'!D140,'Projected BS'!C146)</f>
        <v>-1045485.6</v>
      </c>
      <c r="D20" s="46">
        <f>-SUM('Projected BS'!D124,'Projected BS'!E140,'Projected BS'!D146)</f>
        <v>-1357985.6</v>
      </c>
      <c r="E20" s="46">
        <f>-SUM('Projected BS'!E124,'Projected BS'!F140,'Projected BS'!E146)</f>
        <v>-1357985.6</v>
      </c>
      <c r="F20" s="46">
        <f>-SUM('Projected BS'!F124,'Projected BS'!G140,'Projected BS'!F146)</f>
        <v>-1357985.6</v>
      </c>
      <c r="G20" s="46">
        <f>-SUM('Projected BS'!G124,'Projected BS'!H140,'Projected BS'!G146)</f>
        <v>-1250000</v>
      </c>
      <c r="H20" s="46">
        <f>-SUM('Projected BS'!H124,'Projected BS'!I140,'Projected BS'!H146)</f>
        <v>-1250000</v>
      </c>
      <c r="I20" s="46">
        <f>-SUM('Projected BS'!I124,'Projected BS'!J140,'Projected BS'!I146)</f>
        <v>-1250000</v>
      </c>
      <c r="J20" s="46">
        <f>-SUM('Projected BS'!J124,'Projected BS'!K140,'Projected BS'!J146)</f>
        <v>-1250000</v>
      </c>
      <c r="K20" s="46">
        <f>-SUM('Projected BS'!K124,'Projected BS'!L140,'Projected BS'!K146)</f>
        <v>-1250000</v>
      </c>
    </row>
    <row r="21" spans="1:11" x14ac:dyDescent="0.2">
      <c r="A21" s="3" t="s">
        <v>73</v>
      </c>
      <c r="B21" s="47">
        <f>SUM('2026 SOPL (Worst Case Scenario)'!B21:M21)</f>
        <v>95853.056949776786</v>
      </c>
      <c r="C21" s="46">
        <f t="shared" ref="C21:K21" si="15">B21*1.15</f>
        <v>110231.0154922433</v>
      </c>
      <c r="D21" s="46">
        <f t="shared" si="15"/>
        <v>126765.66781607979</v>
      </c>
      <c r="E21" s="46">
        <f t="shared" si="15"/>
        <v>145780.51798849175</v>
      </c>
      <c r="F21" s="46">
        <f t="shared" si="15"/>
        <v>167647.5956867655</v>
      </c>
      <c r="G21" s="46">
        <f t="shared" si="15"/>
        <v>192794.73503978032</v>
      </c>
      <c r="H21" s="46">
        <f t="shared" si="15"/>
        <v>221713.94529574737</v>
      </c>
      <c r="I21" s="46">
        <f t="shared" si="15"/>
        <v>254971.03709010946</v>
      </c>
      <c r="J21" s="46">
        <f t="shared" si="15"/>
        <v>293216.69265362585</v>
      </c>
      <c r="K21" s="46">
        <f t="shared" si="15"/>
        <v>337199.19655166968</v>
      </c>
    </row>
    <row r="22" spans="1:11" x14ac:dyDescent="0.2">
      <c r="A22" s="3" t="s">
        <v>74</v>
      </c>
      <c r="B22" s="47">
        <f>SUM('2026 SOPL (Worst Case Scenario)'!B22:M22)</f>
        <v>2488320</v>
      </c>
      <c r="C22" s="46">
        <f t="shared" ref="C22:K22" si="16">B22*1.15</f>
        <v>2861568</v>
      </c>
      <c r="D22" s="46">
        <f t="shared" si="16"/>
        <v>3290803.1999999997</v>
      </c>
      <c r="E22" s="46">
        <f t="shared" si="16"/>
        <v>3784423.6799999992</v>
      </c>
      <c r="F22" s="46">
        <f t="shared" si="16"/>
        <v>4352087.2319999989</v>
      </c>
      <c r="G22" s="46">
        <f t="shared" si="16"/>
        <v>5004900.3167999983</v>
      </c>
      <c r="H22" s="46">
        <f t="shared" si="16"/>
        <v>5755635.3643199978</v>
      </c>
      <c r="I22" s="46">
        <f t="shared" si="16"/>
        <v>6618980.6689679967</v>
      </c>
      <c r="J22" s="46">
        <f t="shared" si="16"/>
        <v>7611827.7693131957</v>
      </c>
      <c r="K22" s="46">
        <f t="shared" si="16"/>
        <v>8753601.9347101748</v>
      </c>
    </row>
    <row r="23" spans="1:11" x14ac:dyDescent="0.2">
      <c r="A23" s="3" t="s">
        <v>75</v>
      </c>
      <c r="B23" s="47">
        <f>SUM('2026 SOPL (Worst Case Scenario)'!B23:M23)</f>
        <v>30000</v>
      </c>
      <c r="C23" s="46">
        <f t="shared" ref="C23:K23" si="17">B23*1.15</f>
        <v>34500</v>
      </c>
      <c r="D23" s="46">
        <f t="shared" si="17"/>
        <v>39675</v>
      </c>
      <c r="E23" s="46">
        <f t="shared" si="17"/>
        <v>45626.25</v>
      </c>
      <c r="F23" s="46">
        <f t="shared" si="17"/>
        <v>52470.187499999993</v>
      </c>
      <c r="G23" s="46">
        <f t="shared" si="17"/>
        <v>60340.71562499999</v>
      </c>
      <c r="H23" s="46">
        <f t="shared" si="17"/>
        <v>69391.822968749984</v>
      </c>
      <c r="I23" s="46">
        <f t="shared" si="17"/>
        <v>79800.596414062471</v>
      </c>
      <c r="J23" s="46">
        <f t="shared" si="17"/>
        <v>91770.685876171832</v>
      </c>
      <c r="K23" s="46">
        <f t="shared" si="17"/>
        <v>105536.28875759761</v>
      </c>
    </row>
    <row r="24" spans="1:11" x14ac:dyDescent="0.2">
      <c r="A24" s="3" t="s">
        <v>76</v>
      </c>
      <c r="B24" s="47">
        <f>SUM('2026 SOPL (Worst Case Scenario)'!B24:M24)</f>
        <v>12441.599999999997</v>
      </c>
      <c r="C24" s="46">
        <f t="shared" ref="C24:K24" si="18">B24*1.15</f>
        <v>14307.839999999995</v>
      </c>
      <c r="D24" s="46">
        <f t="shared" si="18"/>
        <v>16454.015999999992</v>
      </c>
      <c r="E24" s="46">
        <f t="shared" si="18"/>
        <v>18922.118399999988</v>
      </c>
      <c r="F24" s="46">
        <f t="shared" si="18"/>
        <v>21760.436159999987</v>
      </c>
      <c r="G24" s="46">
        <f t="shared" si="18"/>
        <v>25024.501583999983</v>
      </c>
      <c r="H24" s="46">
        <f t="shared" si="18"/>
        <v>28778.17682159998</v>
      </c>
      <c r="I24" s="46">
        <f t="shared" si="18"/>
        <v>33094.903344839971</v>
      </c>
      <c r="J24" s="46">
        <f t="shared" si="18"/>
        <v>38059.138846565962</v>
      </c>
      <c r="K24" s="46">
        <f t="shared" si="18"/>
        <v>43768.009673550856</v>
      </c>
    </row>
    <row r="25" spans="1:11" x14ac:dyDescent="0.2">
      <c r="A25" s="3" t="s">
        <v>77</v>
      </c>
      <c r="B25" s="47">
        <f>SUM('2026 SOPL (Worst Case Scenario)'!B25:M25)</f>
        <v>248832</v>
      </c>
      <c r="C25" s="46">
        <f t="shared" ref="C25:K25" si="19">B25*1.15</f>
        <v>286156.79999999999</v>
      </c>
      <c r="D25" s="46">
        <f t="shared" si="19"/>
        <v>329080.31999999995</v>
      </c>
      <c r="E25" s="46">
        <f t="shared" si="19"/>
        <v>378442.3679999999</v>
      </c>
      <c r="F25" s="46">
        <f t="shared" si="19"/>
        <v>435208.72319999983</v>
      </c>
      <c r="G25" s="46">
        <f t="shared" si="19"/>
        <v>500490.03167999978</v>
      </c>
      <c r="H25" s="46">
        <f t="shared" si="19"/>
        <v>575563.53643199976</v>
      </c>
      <c r="I25" s="46">
        <f t="shared" si="19"/>
        <v>661898.06689679972</v>
      </c>
      <c r="J25" s="46">
        <f t="shared" si="19"/>
        <v>761182.77693131962</v>
      </c>
      <c r="K25" s="46">
        <f t="shared" si="19"/>
        <v>875360.19347101753</v>
      </c>
    </row>
    <row r="26" spans="1:11" x14ac:dyDescent="0.2">
      <c r="A26" s="3" t="s">
        <v>78</v>
      </c>
      <c r="B26" s="47">
        <f>SUM('2026 SOPL (Worst Case Scenario)'!B26:M26)</f>
        <v>6600</v>
      </c>
      <c r="C26" s="46">
        <f t="shared" ref="C26:K26" si="20">B26*1.15</f>
        <v>7589.9999999999991</v>
      </c>
      <c r="D26" s="46">
        <f t="shared" si="20"/>
        <v>8728.4999999999982</v>
      </c>
      <c r="E26" s="46">
        <f t="shared" si="20"/>
        <v>10037.774999999998</v>
      </c>
      <c r="F26" s="46">
        <f t="shared" si="20"/>
        <v>11543.441249999996</v>
      </c>
      <c r="G26" s="46">
        <f t="shared" si="20"/>
        <v>13274.957437499994</v>
      </c>
      <c r="H26" s="46">
        <f t="shared" si="20"/>
        <v>15266.201053124993</v>
      </c>
      <c r="I26" s="46">
        <f t="shared" si="20"/>
        <v>17556.13121109374</v>
      </c>
      <c r="J26" s="46">
        <f t="shared" si="20"/>
        <v>20189.550892757798</v>
      </c>
      <c r="K26" s="46">
        <f t="shared" si="20"/>
        <v>23217.983526671465</v>
      </c>
    </row>
    <row r="27" spans="1:11" x14ac:dyDescent="0.2">
      <c r="A27" s="3" t="s">
        <v>87</v>
      </c>
      <c r="B27" s="47">
        <f>SUM('2026 SOPL (Worst Case Scenario)'!B27:M27)</f>
        <v>396280.8000000001</v>
      </c>
      <c r="C27" s="46">
        <f t="shared" ref="C27:K27" si="21">B27*1.15</f>
        <v>455722.9200000001</v>
      </c>
      <c r="D27" s="46">
        <f t="shared" si="21"/>
        <v>524081.35800000007</v>
      </c>
      <c r="E27" s="46">
        <f t="shared" si="21"/>
        <v>602693.56170000008</v>
      </c>
      <c r="F27" s="46">
        <f t="shared" si="21"/>
        <v>693097.59595500003</v>
      </c>
      <c r="G27" s="46">
        <f t="shared" si="21"/>
        <v>797062.23534825002</v>
      </c>
      <c r="H27" s="46">
        <f t="shared" si="21"/>
        <v>916621.57065048744</v>
      </c>
      <c r="I27" s="46">
        <f t="shared" si="21"/>
        <v>1054114.8062480604</v>
      </c>
      <c r="J27" s="46">
        <f t="shared" si="21"/>
        <v>1212232.0271852694</v>
      </c>
      <c r="K27" s="46">
        <f t="shared" si="21"/>
        <v>1394066.8312630598</v>
      </c>
    </row>
    <row r="28" spans="1:11" x14ac:dyDescent="0.2">
      <c r="A28" s="3" t="s">
        <v>79</v>
      </c>
      <c r="B28" s="47">
        <f>SUM('2026 SOPL (Worst Case Scenario)'!B28:M28)</f>
        <v>126876.62499999999</v>
      </c>
      <c r="C28" s="46">
        <f t="shared" ref="C28:K28" si="22">B28*1.15</f>
        <v>145908.11874999997</v>
      </c>
      <c r="D28" s="46">
        <f t="shared" si="22"/>
        <v>167794.33656249996</v>
      </c>
      <c r="E28" s="46">
        <f t="shared" si="22"/>
        <v>192963.48704687494</v>
      </c>
      <c r="F28" s="46">
        <f t="shared" si="22"/>
        <v>221908.01010390616</v>
      </c>
      <c r="G28" s="46">
        <f t="shared" si="22"/>
        <v>255194.21161949207</v>
      </c>
      <c r="H28" s="46">
        <f t="shared" si="22"/>
        <v>293473.34336241585</v>
      </c>
      <c r="I28" s="46">
        <f t="shared" si="22"/>
        <v>337494.34486677818</v>
      </c>
      <c r="J28" s="46">
        <f t="shared" si="22"/>
        <v>388118.49659679487</v>
      </c>
      <c r="K28" s="46">
        <f t="shared" si="22"/>
        <v>446336.27108631405</v>
      </c>
    </row>
    <row r="29" spans="1:11" x14ac:dyDescent="0.2">
      <c r="A29" s="3" t="s">
        <v>80</v>
      </c>
      <c r="B29" s="46">
        <f>SUM(B16,B17)</f>
        <v>29313241.143050216</v>
      </c>
      <c r="C29" s="46">
        <f t="shared" ref="C29:K29" si="23">SUM(C16,C17)</f>
        <v>34631529.474507749</v>
      </c>
      <c r="D29" s="46">
        <f t="shared" si="23"/>
        <v>39981936.055683903</v>
      </c>
      <c r="E29" s="46">
        <f t="shared" si="23"/>
        <v>45775528.624036521</v>
      </c>
      <c r="F29" s="46">
        <f t="shared" si="23"/>
        <v>52438160.077641979</v>
      </c>
      <c r="G29" s="46">
        <f t="shared" si="23"/>
        <v>59992200.649288267</v>
      </c>
      <c r="H29" s="46">
        <f t="shared" si="23"/>
        <v>68803530.746681497</v>
      </c>
      <c r="I29" s="46">
        <f t="shared" si="23"/>
        <v>78936560.358683795</v>
      </c>
      <c r="J29" s="46">
        <f t="shared" si="23"/>
        <v>90589544.412486285</v>
      </c>
      <c r="K29" s="46">
        <f t="shared" si="23"/>
        <v>103990476.07435921</v>
      </c>
    </row>
    <row r="30" spans="1:11" x14ac:dyDescent="0.2">
      <c r="A30" s="3" t="s">
        <v>81</v>
      </c>
      <c r="B30" s="46">
        <f>-SUM('2026 SOPL (Worst Case Scenario)'!B31:M31)</f>
        <v>-185039.82826823671</v>
      </c>
      <c r="C30" s="46">
        <f>-'Projected BS'!$C$155*12</f>
        <v>-185039.82826823671</v>
      </c>
      <c r="D30" s="46">
        <f>-'Projected BS'!$C$155*12</f>
        <v>-185039.82826823671</v>
      </c>
      <c r="E30" s="46">
        <f>-'Projected BS'!$C$155*12</f>
        <v>-185039.82826823671</v>
      </c>
      <c r="F30" s="46">
        <f>-'Projected BS'!$C$155*12</f>
        <v>-185039.82826823671</v>
      </c>
      <c r="G30" s="46">
        <f>-'Projected BS'!$C$155*12</f>
        <v>-185039.82826823671</v>
      </c>
      <c r="H30" s="46">
        <f>-'Projected BS'!$C$155*12</f>
        <v>-185039.82826823671</v>
      </c>
      <c r="I30" s="46">
        <f>-'Projected BS'!$C$155*12</f>
        <v>-185039.82826823671</v>
      </c>
      <c r="J30" s="46">
        <f>-'Projected BS'!$C$155*12</f>
        <v>-185039.82826823671</v>
      </c>
      <c r="K30" s="46">
        <f>-'Projected BS'!$C$155*12</f>
        <v>-185039.82826823671</v>
      </c>
    </row>
    <row r="31" spans="1:11" x14ac:dyDescent="0.2">
      <c r="A31" s="3" t="s">
        <v>82</v>
      </c>
      <c r="B31" s="46">
        <f>SUM(B29,B30)</f>
        <v>29128201.314781979</v>
      </c>
      <c r="C31" s="46">
        <f t="shared" ref="C31:K31" si="24">SUM(C29,C30)</f>
        <v>34446489.646239512</v>
      </c>
      <c r="D31" s="46">
        <f t="shared" si="24"/>
        <v>39796896.227415666</v>
      </c>
      <c r="E31" s="46">
        <f t="shared" si="24"/>
        <v>45590488.795768283</v>
      </c>
      <c r="F31" s="46">
        <f t="shared" si="24"/>
        <v>52253120.249373741</v>
      </c>
      <c r="G31" s="46">
        <f t="shared" si="24"/>
        <v>59807160.821020029</v>
      </c>
      <c r="H31" s="46">
        <f t="shared" si="24"/>
        <v>68618490.918413267</v>
      </c>
      <c r="I31" s="46">
        <f t="shared" si="24"/>
        <v>78751520.530415565</v>
      </c>
      <c r="J31" s="46">
        <f t="shared" si="24"/>
        <v>90404504.584218055</v>
      </c>
      <c r="K31" s="46">
        <f t="shared" si="24"/>
        <v>103805436.24609098</v>
      </c>
    </row>
    <row r="32" spans="1:11" x14ac:dyDescent="0.2">
      <c r="A32" s="3" t="s">
        <v>83</v>
      </c>
      <c r="B32" s="46">
        <f>-B31*27%</f>
        <v>-7864614.3549911352</v>
      </c>
      <c r="C32" s="46">
        <f t="shared" ref="C32:K32" si="25">-C31*27%</f>
        <v>-9300552.2044846695</v>
      </c>
      <c r="D32" s="46">
        <f t="shared" si="25"/>
        <v>-10745161.981402231</v>
      </c>
      <c r="E32" s="46">
        <f t="shared" si="25"/>
        <v>-12309431.974857436</v>
      </c>
      <c r="F32" s="46">
        <f t="shared" si="25"/>
        <v>-14108342.46733091</v>
      </c>
      <c r="G32" s="46">
        <f t="shared" si="25"/>
        <v>-16147933.421675408</v>
      </c>
      <c r="H32" s="46">
        <f t="shared" si="25"/>
        <v>-18526992.547971584</v>
      </c>
      <c r="I32" s="46">
        <f t="shared" si="25"/>
        <v>-21262910.543212205</v>
      </c>
      <c r="J32" s="46">
        <f t="shared" si="25"/>
        <v>-24409216.237738878</v>
      </c>
      <c r="K32" s="46">
        <f t="shared" si="25"/>
        <v>-28027467.786444567</v>
      </c>
    </row>
    <row r="33" spans="1:11" x14ac:dyDescent="0.2">
      <c r="A33" s="3" t="s">
        <v>84</v>
      </c>
      <c r="B33" s="46">
        <f>SUM(B31:B32)</f>
        <v>21263586.959790844</v>
      </c>
      <c r="C33" s="46">
        <f t="shared" ref="C33:K33" si="26">SUM(C31:C32)</f>
        <v>25145937.44175484</v>
      </c>
      <c r="D33" s="46">
        <f t="shared" si="26"/>
        <v>29051734.246013433</v>
      </c>
      <c r="E33" s="46">
        <f t="shared" si="26"/>
        <v>33281056.820910849</v>
      </c>
      <c r="F33" s="46">
        <f t="shared" si="26"/>
        <v>38144777.782042831</v>
      </c>
      <c r="G33" s="46">
        <f t="shared" si="26"/>
        <v>43659227.399344623</v>
      </c>
      <c r="H33" s="46">
        <f t="shared" si="26"/>
        <v>50091498.370441683</v>
      </c>
      <c r="I33" s="46">
        <f t="shared" si="26"/>
        <v>57488609.98720336</v>
      </c>
      <c r="J33" s="46">
        <f t="shared" si="26"/>
        <v>65995288.346479177</v>
      </c>
      <c r="K33" s="46">
        <f t="shared" si="26"/>
        <v>75777968.459646404</v>
      </c>
    </row>
  </sheetData>
  <mergeCells count="1">
    <mergeCell ref="B3:K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F40C-7CDE-0C4E-B948-9EF6F19D6086}">
  <sheetPr>
    <tabColor theme="9"/>
  </sheetPr>
  <dimension ref="A1:M34"/>
  <sheetViews>
    <sheetView topLeftCell="A2" zoomScale="80" zoomScaleNormal="80" workbookViewId="0">
      <selection activeCell="B6" sqref="B6"/>
    </sheetView>
  </sheetViews>
  <sheetFormatPr baseColWidth="10" defaultRowHeight="16" x14ac:dyDescent="0.2"/>
  <cols>
    <col min="1" max="1" width="122" bestFit="1" customWidth="1"/>
    <col min="2" max="2" width="14.83203125" bestFit="1" customWidth="1"/>
    <col min="3" max="13" width="13.1640625" bestFit="1" customWidth="1"/>
  </cols>
  <sheetData>
    <row r="1" spans="1:13" ht="21" x14ac:dyDescent="0.25">
      <c r="A1" s="10" t="s">
        <v>86</v>
      </c>
    </row>
    <row r="2" spans="1:13" ht="17" thickBot="1" x14ac:dyDescent="0.25"/>
    <row r="3" spans="1:13" ht="17" thickBot="1" x14ac:dyDescent="0.25">
      <c r="A3" s="9" t="s">
        <v>66</v>
      </c>
      <c r="B3" s="145" t="s">
        <v>65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</row>
    <row r="4" spans="1:13" x14ac:dyDescent="0.2">
      <c r="A4" s="11"/>
      <c r="B4" s="61" t="s">
        <v>54</v>
      </c>
      <c r="C4" s="61" t="s">
        <v>55</v>
      </c>
      <c r="D4" s="61" t="s">
        <v>44</v>
      </c>
      <c r="E4" s="61" t="s">
        <v>45</v>
      </c>
      <c r="F4" s="61" t="s">
        <v>46</v>
      </c>
      <c r="G4" s="61" t="s">
        <v>47</v>
      </c>
      <c r="H4" s="61" t="s">
        <v>48</v>
      </c>
      <c r="I4" s="61" t="s">
        <v>49</v>
      </c>
      <c r="J4" s="61" t="s">
        <v>50</v>
      </c>
      <c r="K4" s="61" t="s">
        <v>51</v>
      </c>
      <c r="L4" s="61" t="s">
        <v>52</v>
      </c>
      <c r="M4" s="61" t="s">
        <v>53</v>
      </c>
    </row>
    <row r="5" spans="1:13" x14ac:dyDescent="0.2">
      <c r="A5" t="s">
        <v>30</v>
      </c>
      <c r="B5" s="46">
        <f>SUM(B6:B14)</f>
        <v>6732618.75</v>
      </c>
      <c r="C5" s="46">
        <f t="shared" ref="C5:M5" si="0">SUM(C6:C14)</f>
        <v>6081075</v>
      </c>
      <c r="D5" s="46">
        <f t="shared" si="0"/>
        <v>6732618.75</v>
      </c>
      <c r="E5" s="46">
        <f t="shared" si="0"/>
        <v>6515437.5</v>
      </c>
      <c r="F5" s="46">
        <f t="shared" si="0"/>
        <v>6732618.75</v>
      </c>
      <c r="G5" s="46">
        <f t="shared" si="0"/>
        <v>6515437.5</v>
      </c>
      <c r="H5" s="46">
        <f t="shared" si="0"/>
        <v>6732618.75</v>
      </c>
      <c r="I5" s="46">
        <f t="shared" si="0"/>
        <v>6732618.75</v>
      </c>
      <c r="J5" s="46">
        <f t="shared" si="0"/>
        <v>6515437.5</v>
      </c>
      <c r="K5" s="46">
        <f t="shared" si="0"/>
        <v>6732618.75</v>
      </c>
      <c r="L5" s="46">
        <f t="shared" si="0"/>
        <v>6515437.5</v>
      </c>
      <c r="M5" s="46">
        <f t="shared" si="0"/>
        <v>6732618.75</v>
      </c>
    </row>
    <row r="6" spans="1:13" x14ac:dyDescent="0.2">
      <c r="A6" s="3" t="s">
        <v>1</v>
      </c>
      <c r="B6" s="46">
        <f>'1. Assumptions'!$B$24*'2. Clients secured'!B108</f>
        <v>478764</v>
      </c>
      <c r="C6" s="46">
        <f>'1. Assumptions'!$B$24*'2. Clients secured'!C108</f>
        <v>432432.00000000006</v>
      </c>
      <c r="D6" s="46">
        <f>'1. Assumptions'!$B$24*'2. Clients secured'!D108</f>
        <v>478764</v>
      </c>
      <c r="E6" s="46">
        <f>'1. Assumptions'!$B$24*'2. Clients secured'!E108</f>
        <v>463320</v>
      </c>
      <c r="F6" s="46">
        <f>'1. Assumptions'!$B$24*'2. Clients secured'!F108</f>
        <v>478764</v>
      </c>
      <c r="G6" s="46">
        <f>'1. Assumptions'!$B$24*'2. Clients secured'!G108</f>
        <v>463320</v>
      </c>
      <c r="H6" s="46">
        <f>'1. Assumptions'!$B$24*'2. Clients secured'!H108</f>
        <v>478764</v>
      </c>
      <c r="I6" s="46">
        <f>'1. Assumptions'!$B$24*'2. Clients secured'!I108</f>
        <v>478764</v>
      </c>
      <c r="J6" s="46">
        <f>'1. Assumptions'!$B$24*'2. Clients secured'!J108</f>
        <v>463320</v>
      </c>
      <c r="K6" s="46">
        <f>'1. Assumptions'!$B$24*'2. Clients secured'!K108</f>
        <v>478764</v>
      </c>
      <c r="L6" s="46">
        <f>'1. Assumptions'!$B$24*'2. Clients secured'!L108</f>
        <v>463320</v>
      </c>
      <c r="M6" s="46">
        <f>'1. Assumptions'!$B$24*'2. Clients secured'!M108</f>
        <v>478764</v>
      </c>
    </row>
    <row r="7" spans="1:13" x14ac:dyDescent="0.2">
      <c r="A7" s="3" t="s">
        <v>2</v>
      </c>
      <c r="B7" s="46">
        <f>'1. Assumptions'!$B$32*'2. Clients secured'!B114</f>
        <v>1436292</v>
      </c>
      <c r="C7" s="46">
        <f>'1. Assumptions'!$B$32*'2. Clients secured'!C114</f>
        <v>1297296.0000000002</v>
      </c>
      <c r="D7" s="46">
        <f>'1. Assumptions'!$B$32*'2. Clients secured'!D114</f>
        <v>1436292</v>
      </c>
      <c r="E7" s="46">
        <f>'1. Assumptions'!$B$32*'2. Clients secured'!E114</f>
        <v>1389960</v>
      </c>
      <c r="F7" s="46">
        <f>'1. Assumptions'!$B$32*'2. Clients secured'!F114</f>
        <v>1436292</v>
      </c>
      <c r="G7" s="46">
        <f>'1. Assumptions'!$B$32*'2. Clients secured'!G114</f>
        <v>1389960</v>
      </c>
      <c r="H7" s="46">
        <f>'1. Assumptions'!$B$32*'2. Clients secured'!H114</f>
        <v>1436292</v>
      </c>
      <c r="I7" s="46">
        <f>'1. Assumptions'!$B$32*'2. Clients secured'!I114</f>
        <v>1436292</v>
      </c>
      <c r="J7" s="46">
        <f>'1. Assumptions'!$B$32*'2. Clients secured'!J114</f>
        <v>1389960</v>
      </c>
      <c r="K7" s="46">
        <f>'1. Assumptions'!$B$32*'2. Clients secured'!K114</f>
        <v>1436292</v>
      </c>
      <c r="L7" s="46">
        <f>'1. Assumptions'!$B$32*'2. Clients secured'!L114</f>
        <v>1389960</v>
      </c>
      <c r="M7" s="46">
        <f>'1. Assumptions'!$B$32*'2. Clients secured'!M114</f>
        <v>1436292</v>
      </c>
    </row>
    <row r="8" spans="1:13" x14ac:dyDescent="0.2">
      <c r="A8" s="3" t="s">
        <v>3</v>
      </c>
      <c r="B8" s="46">
        <f>'1. Assumptions'!$B$40*'2. Clients secured'!B120</f>
        <v>718146</v>
      </c>
      <c r="C8" s="46">
        <f>'1. Assumptions'!$B$40*'2. Clients secured'!C120</f>
        <v>648648.00000000012</v>
      </c>
      <c r="D8" s="46">
        <f>'1. Assumptions'!$B$40*'2. Clients secured'!D120</f>
        <v>718146</v>
      </c>
      <c r="E8" s="46">
        <f>'1. Assumptions'!$B$40*'2. Clients secured'!E120</f>
        <v>694980</v>
      </c>
      <c r="F8" s="46">
        <f>'1. Assumptions'!$B$40*'2. Clients secured'!F120</f>
        <v>718146</v>
      </c>
      <c r="G8" s="46">
        <f>'1. Assumptions'!$B$40*'2. Clients secured'!G120</f>
        <v>694980</v>
      </c>
      <c r="H8" s="46">
        <f>'1. Assumptions'!$B$40*'2. Clients secured'!H120</f>
        <v>718146</v>
      </c>
      <c r="I8" s="46">
        <f>'1. Assumptions'!$B$40*'2. Clients secured'!I120</f>
        <v>718146</v>
      </c>
      <c r="J8" s="46">
        <f>'1. Assumptions'!$B$40*'2. Clients secured'!J120</f>
        <v>694980</v>
      </c>
      <c r="K8" s="46">
        <f>'1. Assumptions'!$B$40*'2. Clients secured'!K120</f>
        <v>718146</v>
      </c>
      <c r="L8" s="46">
        <f>'1. Assumptions'!$B$40*'2. Clients secured'!L120</f>
        <v>694980</v>
      </c>
      <c r="M8" s="46">
        <f>'1. Assumptions'!$B$40*'2. Clients secured'!M120</f>
        <v>718146</v>
      </c>
    </row>
    <row r="9" spans="1:13" x14ac:dyDescent="0.2">
      <c r="A9" s="3" t="s">
        <v>89</v>
      </c>
      <c r="B9" s="46">
        <f>'1. Assumptions'!$B$49*'2. Clients secured'!B126</f>
        <v>215443.80000000002</v>
      </c>
      <c r="C9" s="46">
        <f>'1. Assumptions'!$B$49*'2. Clients secured'!C126</f>
        <v>194594.40000000002</v>
      </c>
      <c r="D9" s="46">
        <f>'1. Assumptions'!$B$49*'2. Clients secured'!D126</f>
        <v>215443.80000000002</v>
      </c>
      <c r="E9" s="46">
        <f>'1. Assumptions'!$B$49*'2. Clients secured'!E126</f>
        <v>208494</v>
      </c>
      <c r="F9" s="46">
        <f>'1. Assumptions'!$B$49*'2. Clients secured'!F126</f>
        <v>215443.80000000002</v>
      </c>
      <c r="G9" s="46">
        <f>'1. Assumptions'!$B$49*'2. Clients secured'!G126</f>
        <v>208494</v>
      </c>
      <c r="H9" s="46">
        <f>'1. Assumptions'!$B$49*'2. Clients secured'!H126</f>
        <v>215443.80000000002</v>
      </c>
      <c r="I9" s="46">
        <f>'1. Assumptions'!$B$49*'2. Clients secured'!I126</f>
        <v>215443.80000000002</v>
      </c>
      <c r="J9" s="46">
        <f>'1. Assumptions'!$B$49*'2. Clients secured'!J126</f>
        <v>208494</v>
      </c>
      <c r="K9" s="46">
        <f>'1. Assumptions'!$B$49*'2. Clients secured'!K126</f>
        <v>215443.80000000002</v>
      </c>
      <c r="L9" s="46">
        <f>'1. Assumptions'!$B$49*'2. Clients secured'!L126</f>
        <v>208494</v>
      </c>
      <c r="M9" s="46">
        <f>'1. Assumptions'!$B$49*'2. Clients secured'!M126</f>
        <v>215443.80000000002</v>
      </c>
    </row>
    <row r="10" spans="1:13" x14ac:dyDescent="0.2">
      <c r="A10" s="3" t="s">
        <v>90</v>
      </c>
      <c r="B10" s="46">
        <f>'1. Assumptions'!$B$57*'2. Clients secured'!B132</f>
        <v>131660.1</v>
      </c>
      <c r="C10" s="46">
        <f>'1. Assumptions'!$B$57*'2. Clients secured'!C132</f>
        <v>118918.80000000002</v>
      </c>
      <c r="D10" s="46">
        <f>'1. Assumptions'!$B$57*'2. Clients secured'!D132</f>
        <v>131660.1</v>
      </c>
      <c r="E10" s="46">
        <f>'1. Assumptions'!$B$57*'2. Clients secured'!E132</f>
        <v>127413</v>
      </c>
      <c r="F10" s="46">
        <f>'1. Assumptions'!$B$57*'2. Clients secured'!F132</f>
        <v>131660.1</v>
      </c>
      <c r="G10" s="46">
        <f>'1. Assumptions'!$B$57*'2. Clients secured'!G132</f>
        <v>127413</v>
      </c>
      <c r="H10" s="46">
        <f>'1. Assumptions'!$B$57*'2. Clients secured'!H132</f>
        <v>131660.1</v>
      </c>
      <c r="I10" s="46">
        <f>'1. Assumptions'!$B$57*'2. Clients secured'!I132</f>
        <v>131660.1</v>
      </c>
      <c r="J10" s="46">
        <f>'1. Assumptions'!$B$57*'2. Clients secured'!J132</f>
        <v>127413</v>
      </c>
      <c r="K10" s="46">
        <f>'1. Assumptions'!$B$57*'2. Clients secured'!K132</f>
        <v>131660.1</v>
      </c>
      <c r="L10" s="46">
        <f>'1. Assumptions'!$B$57*'2. Clients secured'!L132</f>
        <v>127413</v>
      </c>
      <c r="M10" s="46">
        <f>'1. Assumptions'!$B$57*'2. Clients secured'!M132</f>
        <v>131660.1</v>
      </c>
    </row>
    <row r="11" spans="1:13" x14ac:dyDescent="0.2">
      <c r="A11" s="3" t="s">
        <v>91</v>
      </c>
      <c r="B11" s="46">
        <f>'1. Assumptions'!$C$66*'1. Assumptions'!$C$67*'2. Clients secured'!B138</f>
        <v>1777411.35</v>
      </c>
      <c r="C11" s="46">
        <f>'1. Assumptions'!$C$66*'1. Assumptions'!$C$67*'2. Clients secured'!C138</f>
        <v>1605403.8000000003</v>
      </c>
      <c r="D11" s="46">
        <f>'1. Assumptions'!$C$66*'1. Assumptions'!$C$67*'2. Clients secured'!D138</f>
        <v>1777411.35</v>
      </c>
      <c r="E11" s="46">
        <f>'1. Assumptions'!$C$66*'1. Assumptions'!$C$67*'2. Clients secured'!E138</f>
        <v>1720075.5</v>
      </c>
      <c r="F11" s="46">
        <f>'1. Assumptions'!$C$66*'1. Assumptions'!$C$67*'2. Clients secured'!F138</f>
        <v>1777411.35</v>
      </c>
      <c r="G11" s="46">
        <f>'1. Assumptions'!$C$66*'1. Assumptions'!$C$67*'2. Clients secured'!G138</f>
        <v>1720075.5</v>
      </c>
      <c r="H11" s="46">
        <f>'1. Assumptions'!$C$66*'1. Assumptions'!$C$67*'2. Clients secured'!H138</f>
        <v>1777411.35</v>
      </c>
      <c r="I11" s="46">
        <f>'1. Assumptions'!$C$66*'1. Assumptions'!$C$67*'2. Clients secured'!I138</f>
        <v>1777411.35</v>
      </c>
      <c r="J11" s="46">
        <f>'1. Assumptions'!$C$66*'1. Assumptions'!$C$67*'2. Clients secured'!J138</f>
        <v>1720075.5</v>
      </c>
      <c r="K11" s="46">
        <f>'1. Assumptions'!$C$66*'1. Assumptions'!$C$67*'2. Clients secured'!K138</f>
        <v>1777411.35</v>
      </c>
      <c r="L11" s="46">
        <f>'1. Assumptions'!$C$66*'1. Assumptions'!$C$67*'2. Clients secured'!L138</f>
        <v>1720075.5</v>
      </c>
      <c r="M11" s="46">
        <f>'1. Assumptions'!$C$66*'1. Assumptions'!$C$67*'2. Clients secured'!M138</f>
        <v>1777411.35</v>
      </c>
    </row>
    <row r="12" spans="1:13" x14ac:dyDescent="0.2">
      <c r="A12" s="3" t="s">
        <v>92</v>
      </c>
      <c r="B12" s="46">
        <f>'1. Assumptions'!$B$77*'2. Clients secured'!B144</f>
        <v>299227.5</v>
      </c>
      <c r="C12" s="46">
        <f>'1. Assumptions'!$B$77*'2. Clients secured'!C144</f>
        <v>270270.00000000006</v>
      </c>
      <c r="D12" s="46">
        <f>'1. Assumptions'!$B$77*'2. Clients secured'!D144</f>
        <v>299227.5</v>
      </c>
      <c r="E12" s="46">
        <f>'1. Assumptions'!$B$77*'2. Clients secured'!E144</f>
        <v>289575</v>
      </c>
      <c r="F12" s="46">
        <f>'1. Assumptions'!$B$77*'2. Clients secured'!F144</f>
        <v>299227.5</v>
      </c>
      <c r="G12" s="46">
        <f>'1. Assumptions'!$B$77*'2. Clients secured'!G144</f>
        <v>289575</v>
      </c>
      <c r="H12" s="46">
        <f>'1. Assumptions'!$B$77*'2. Clients secured'!H144</f>
        <v>299227.5</v>
      </c>
      <c r="I12" s="46">
        <f>'1. Assumptions'!$B$77*'2. Clients secured'!I144</f>
        <v>299227.5</v>
      </c>
      <c r="J12" s="46">
        <f>'1. Assumptions'!$B$77*'2. Clients secured'!J144</f>
        <v>289575</v>
      </c>
      <c r="K12" s="46">
        <f>'1. Assumptions'!$B$77*'2. Clients secured'!K144</f>
        <v>299227.5</v>
      </c>
      <c r="L12" s="46">
        <f>'1. Assumptions'!$B$77*'2. Clients secured'!L144</f>
        <v>289575</v>
      </c>
      <c r="M12" s="46">
        <f>'1. Assumptions'!$B$77*'2. Clients secured'!M144</f>
        <v>299227.5</v>
      </c>
    </row>
    <row r="13" spans="1:13" x14ac:dyDescent="0.2">
      <c r="A13" s="3" t="s">
        <v>93</v>
      </c>
      <c r="B13" s="46">
        <f>'1. Assumptions'!$B$85*'2. Clients secured'!B150</f>
        <v>279279.00000000006</v>
      </c>
      <c r="C13" s="46">
        <f>'1. Assumptions'!$B$85*'2. Clients secured'!C150</f>
        <v>252252.00000000009</v>
      </c>
      <c r="D13" s="46">
        <f>'1. Assumptions'!$B$85*'2. Clients secured'!D150</f>
        <v>279279.00000000006</v>
      </c>
      <c r="E13" s="46">
        <f>'1. Assumptions'!$B$85*'2. Clients secured'!E150</f>
        <v>270270.00000000006</v>
      </c>
      <c r="F13" s="46">
        <f>'1. Assumptions'!$B$85*'2. Clients secured'!F150</f>
        <v>279279.00000000006</v>
      </c>
      <c r="G13" s="46">
        <f>'1. Assumptions'!$B$85*'2. Clients secured'!G150</f>
        <v>270270.00000000006</v>
      </c>
      <c r="H13" s="46">
        <f>'1. Assumptions'!$B$85*'2. Clients secured'!H150</f>
        <v>279279.00000000006</v>
      </c>
      <c r="I13" s="46">
        <f>'1. Assumptions'!$B$85*'2. Clients secured'!I150</f>
        <v>279279.00000000006</v>
      </c>
      <c r="J13" s="46">
        <f>'1. Assumptions'!$B$85*'2. Clients secured'!J150</f>
        <v>270270.00000000006</v>
      </c>
      <c r="K13" s="46">
        <f>'1. Assumptions'!$B$85*'2. Clients secured'!K150</f>
        <v>279279.00000000006</v>
      </c>
      <c r="L13" s="46">
        <f>'1. Assumptions'!$B$85*'2. Clients secured'!L150</f>
        <v>270270.00000000006</v>
      </c>
      <c r="M13" s="46">
        <f>'1. Assumptions'!$B$85*'2. Clients secured'!M150</f>
        <v>279279.00000000006</v>
      </c>
    </row>
    <row r="14" spans="1:13" x14ac:dyDescent="0.2">
      <c r="A14" s="5" t="s">
        <v>57</v>
      </c>
      <c r="B14" s="46">
        <f>'1. Assumptions'!$B$87*'2. Clients secured'!B161</f>
        <v>1396395.0000000002</v>
      </c>
      <c r="C14" s="46">
        <f>'1. Assumptions'!$B$87*'2. Clients secured'!C161</f>
        <v>1261260.0000000005</v>
      </c>
      <c r="D14" s="46">
        <f>'1. Assumptions'!$B$87*'2. Clients secured'!D161</f>
        <v>1396395.0000000002</v>
      </c>
      <c r="E14" s="46">
        <f>'1. Assumptions'!$B$87*'2. Clients secured'!E161</f>
        <v>1351350.0000000002</v>
      </c>
      <c r="F14" s="46">
        <f>'1. Assumptions'!$B$87*'2. Clients secured'!F161</f>
        <v>1396395.0000000002</v>
      </c>
      <c r="G14" s="46">
        <f>'1. Assumptions'!$B$87*'2. Clients secured'!G161</f>
        <v>1351350.0000000002</v>
      </c>
      <c r="H14" s="46">
        <f>'1. Assumptions'!$B$87*'2. Clients secured'!H161</f>
        <v>1396395.0000000002</v>
      </c>
      <c r="I14" s="46">
        <f>'1. Assumptions'!$B$87*'2. Clients secured'!I161</f>
        <v>1396395.0000000002</v>
      </c>
      <c r="J14" s="46">
        <f>'1. Assumptions'!$B$87*'2. Clients secured'!J161</f>
        <v>1351350.0000000002</v>
      </c>
      <c r="K14" s="46">
        <f>'1. Assumptions'!$B$87*'2. Clients secured'!K161</f>
        <v>1396395.0000000002</v>
      </c>
      <c r="L14" s="46">
        <f>'1. Assumptions'!$B$87*'2. Clients secured'!L161</f>
        <v>1351350.0000000002</v>
      </c>
      <c r="M14" s="46">
        <f>'1. Assumptions'!$B$87*'2. Clients secured'!M161</f>
        <v>1396395.0000000002</v>
      </c>
    </row>
    <row r="15" spans="1:13" x14ac:dyDescent="0.2">
      <c r="A15" s="3" t="s">
        <v>68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</row>
    <row r="16" spans="1:13" x14ac:dyDescent="0.2">
      <c r="A16" s="3" t="s">
        <v>69</v>
      </c>
      <c r="B16" s="47">
        <f>SUM(B5,B15)</f>
        <v>6732618.75</v>
      </c>
      <c r="C16" s="47">
        <f t="shared" ref="C16:M16" si="1">SUM(C5,C15)</f>
        <v>6081075</v>
      </c>
      <c r="D16" s="47">
        <f t="shared" si="1"/>
        <v>6732618.75</v>
      </c>
      <c r="E16" s="47">
        <f t="shared" si="1"/>
        <v>6515437.5</v>
      </c>
      <c r="F16" s="47">
        <f t="shared" si="1"/>
        <v>6732618.75</v>
      </c>
      <c r="G16" s="47">
        <f t="shared" si="1"/>
        <v>6515437.5</v>
      </c>
      <c r="H16" s="47">
        <f t="shared" si="1"/>
        <v>6732618.75</v>
      </c>
      <c r="I16" s="47">
        <f t="shared" si="1"/>
        <v>6732618.75</v>
      </c>
      <c r="J16" s="47">
        <f t="shared" si="1"/>
        <v>6515437.5</v>
      </c>
      <c r="K16" s="47">
        <f t="shared" si="1"/>
        <v>6732618.75</v>
      </c>
      <c r="L16" s="47">
        <f t="shared" si="1"/>
        <v>6515437.5</v>
      </c>
      <c r="M16" s="47">
        <f t="shared" si="1"/>
        <v>6732618.75</v>
      </c>
    </row>
    <row r="17" spans="1:13" x14ac:dyDescent="0.2">
      <c r="A17" s="3" t="s">
        <v>70</v>
      </c>
      <c r="B17" s="47">
        <f>-SUM(B18:B29)</f>
        <v>-4284022.4944497766</v>
      </c>
      <c r="C17" s="47">
        <f t="shared" ref="C17:M17" si="2">-SUM(C18:C29)</f>
        <v>-4188169.4375</v>
      </c>
      <c r="D17" s="47">
        <f t="shared" si="2"/>
        <v>-4188169.4375</v>
      </c>
      <c r="E17" s="47">
        <f t="shared" si="2"/>
        <v>-4188169.4375</v>
      </c>
      <c r="F17" s="47">
        <f t="shared" si="2"/>
        <v>-4188169.4375</v>
      </c>
      <c r="G17" s="47">
        <f t="shared" si="2"/>
        <v>-4188169.4375</v>
      </c>
      <c r="H17" s="47">
        <f t="shared" si="2"/>
        <v>-4188169.4375</v>
      </c>
      <c r="I17" s="47">
        <f t="shared" si="2"/>
        <v>-4188169.4375</v>
      </c>
      <c r="J17" s="47">
        <f t="shared" si="2"/>
        <v>-4188169.4375</v>
      </c>
      <c r="K17" s="47">
        <f t="shared" si="2"/>
        <v>-4188169.4375</v>
      </c>
      <c r="L17" s="47">
        <f t="shared" si="2"/>
        <v>-4188169.4375</v>
      </c>
      <c r="M17" s="47">
        <f t="shared" si="2"/>
        <v>-4188169.4375</v>
      </c>
    </row>
    <row r="18" spans="1:13" x14ac:dyDescent="0.2">
      <c r="A18" s="3" t="s">
        <v>71</v>
      </c>
      <c r="B18" s="47">
        <f>'1. Assumptions'!$C$165</f>
        <v>1248610.6934523811</v>
      </c>
      <c r="C18" s="47">
        <f>'1. Assumptions'!$C$165</f>
        <v>1248610.6934523811</v>
      </c>
      <c r="D18" s="47">
        <f>'1. Assumptions'!$C$165</f>
        <v>1248610.6934523811</v>
      </c>
      <c r="E18" s="47">
        <f>'1. Assumptions'!$C$165</f>
        <v>1248610.6934523811</v>
      </c>
      <c r="F18" s="47">
        <f>'1. Assumptions'!$C$165</f>
        <v>1248610.6934523811</v>
      </c>
      <c r="G18" s="47">
        <f>'1. Assumptions'!$C$165</f>
        <v>1248610.6934523811</v>
      </c>
      <c r="H18" s="47">
        <f>'1. Assumptions'!$C$165</f>
        <v>1248610.6934523811</v>
      </c>
      <c r="I18" s="47">
        <f>'1. Assumptions'!$C$165</f>
        <v>1248610.6934523811</v>
      </c>
      <c r="J18" s="47">
        <f>'1. Assumptions'!$C$165</f>
        <v>1248610.6934523811</v>
      </c>
      <c r="K18" s="47">
        <f>'1. Assumptions'!$C$165</f>
        <v>1248610.6934523811</v>
      </c>
      <c r="L18" s="47">
        <f>'1. Assumptions'!$C$165</f>
        <v>1248610.6934523811</v>
      </c>
      <c r="M18" s="47">
        <f>'1. Assumptions'!$C$165</f>
        <v>1248610.6934523811</v>
      </c>
    </row>
    <row r="19" spans="1:13" x14ac:dyDescent="0.2">
      <c r="A19" s="3" t="s">
        <v>72</v>
      </c>
      <c r="B19" s="47">
        <f>'1. Assumptions'!$C$130</f>
        <v>2639780.6919642859</v>
      </c>
      <c r="C19" s="47">
        <f>'1. Assumptions'!$C$130</f>
        <v>2639780.6919642859</v>
      </c>
      <c r="D19" s="47">
        <f>'1. Assumptions'!$C$130</f>
        <v>2639780.6919642859</v>
      </c>
      <c r="E19" s="47">
        <f>'1. Assumptions'!$C$130</f>
        <v>2639780.6919642859</v>
      </c>
      <c r="F19" s="47">
        <f>'1. Assumptions'!$C$130</f>
        <v>2639780.6919642859</v>
      </c>
      <c r="G19" s="47">
        <f>'1. Assumptions'!$C$130</f>
        <v>2639780.6919642859</v>
      </c>
      <c r="H19" s="47">
        <f>'1. Assumptions'!$C$130</f>
        <v>2639780.6919642859</v>
      </c>
      <c r="I19" s="47">
        <f>'1. Assumptions'!$C$130</f>
        <v>2639780.6919642859</v>
      </c>
      <c r="J19" s="47">
        <f>'1. Assumptions'!$C$130</f>
        <v>2639780.6919642859</v>
      </c>
      <c r="K19" s="47">
        <f>'1. Assumptions'!$C$130</f>
        <v>2639780.6919642859</v>
      </c>
      <c r="L19" s="47">
        <f>'1. Assumptions'!$C$130</f>
        <v>2639780.6919642859</v>
      </c>
      <c r="M19" s="47">
        <f>'1. Assumptions'!$C$130</f>
        <v>2639780.6919642859</v>
      </c>
    </row>
    <row r="20" spans="1:13" x14ac:dyDescent="0.2">
      <c r="A20" s="3" t="s">
        <v>269</v>
      </c>
      <c r="B20" s="47">
        <f>'Projected BS'!$C$140/12</f>
        <v>8998.8000000000011</v>
      </c>
      <c r="C20" s="47">
        <f>'Projected BS'!$C$140/12</f>
        <v>8998.8000000000011</v>
      </c>
      <c r="D20" s="47">
        <f>'Projected BS'!$C$140/12</f>
        <v>8998.8000000000011</v>
      </c>
      <c r="E20" s="47">
        <f>'Projected BS'!$C$140/12</f>
        <v>8998.8000000000011</v>
      </c>
      <c r="F20" s="47">
        <f>'Projected BS'!$C$140/12</f>
        <v>8998.8000000000011</v>
      </c>
      <c r="G20" s="47">
        <f>'Projected BS'!$C$140/12</f>
        <v>8998.8000000000011</v>
      </c>
      <c r="H20" s="47">
        <f>'Projected BS'!$C$140/12</f>
        <v>8998.8000000000011</v>
      </c>
      <c r="I20" s="47">
        <f>'Projected BS'!$C$140/12</f>
        <v>8998.8000000000011</v>
      </c>
      <c r="J20" s="47">
        <f>'Projected BS'!$C$140/12</f>
        <v>8998.8000000000011</v>
      </c>
      <c r="K20" s="47">
        <f>'Projected BS'!$C$140/12</f>
        <v>8998.8000000000011</v>
      </c>
      <c r="L20" s="47">
        <f>'Projected BS'!$C$140/12</f>
        <v>8998.8000000000011</v>
      </c>
      <c r="M20" s="47">
        <f>'Projected BS'!$C$140/12</f>
        <v>8998.8000000000011</v>
      </c>
    </row>
    <row r="21" spans="1:13" x14ac:dyDescent="0.2">
      <c r="A21" s="3" t="s">
        <v>73</v>
      </c>
      <c r="B21" s="47">
        <f>'1. Assumptions'!$C$176</f>
        <v>95853.056949776786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</row>
    <row r="22" spans="1:13" x14ac:dyDescent="0.2">
      <c r="A22" s="3" t="s">
        <v>74</v>
      </c>
      <c r="B22" s="47">
        <f>'1. Assumptions'!$C$122</f>
        <v>207360</v>
      </c>
      <c r="C22" s="47">
        <f>'1. Assumptions'!$C$122</f>
        <v>207360</v>
      </c>
      <c r="D22" s="47">
        <f>'1. Assumptions'!$C$122</f>
        <v>207360</v>
      </c>
      <c r="E22" s="47">
        <f>'1. Assumptions'!$C$122</f>
        <v>207360</v>
      </c>
      <c r="F22" s="47">
        <f>'1. Assumptions'!$C$122</f>
        <v>207360</v>
      </c>
      <c r="G22" s="47">
        <f>'1. Assumptions'!$C$122</f>
        <v>207360</v>
      </c>
      <c r="H22" s="47">
        <f>'1. Assumptions'!$C$122</f>
        <v>207360</v>
      </c>
      <c r="I22" s="47">
        <f>'1. Assumptions'!$C$122</f>
        <v>207360</v>
      </c>
      <c r="J22" s="47">
        <f>'1. Assumptions'!$C$122</f>
        <v>207360</v>
      </c>
      <c r="K22" s="47">
        <f>'1. Assumptions'!$C$122</f>
        <v>207360</v>
      </c>
      <c r="L22" s="47">
        <f>'1. Assumptions'!$C$122</f>
        <v>207360</v>
      </c>
      <c r="M22" s="47">
        <f>'1. Assumptions'!$C$122</f>
        <v>207360</v>
      </c>
    </row>
    <row r="23" spans="1:13" x14ac:dyDescent="0.2">
      <c r="A23" s="3" t="s">
        <v>75</v>
      </c>
      <c r="B23" s="47">
        <f>'1. Assumptions'!$B$133</f>
        <v>2500</v>
      </c>
      <c r="C23" s="47">
        <f>'1. Assumptions'!$B$133</f>
        <v>2500</v>
      </c>
      <c r="D23" s="47">
        <f>'1. Assumptions'!$B$133</f>
        <v>2500</v>
      </c>
      <c r="E23" s="47">
        <f>'1. Assumptions'!$B$133</f>
        <v>2500</v>
      </c>
      <c r="F23" s="47">
        <f>'1. Assumptions'!$B$133</f>
        <v>2500</v>
      </c>
      <c r="G23" s="47">
        <f>'1. Assumptions'!$B$133</f>
        <v>2500</v>
      </c>
      <c r="H23" s="47">
        <f>'1. Assumptions'!$B$133</f>
        <v>2500</v>
      </c>
      <c r="I23" s="47">
        <f>'1. Assumptions'!$B$133</f>
        <v>2500</v>
      </c>
      <c r="J23" s="47">
        <f>'1. Assumptions'!$B$133</f>
        <v>2500</v>
      </c>
      <c r="K23" s="47">
        <f>'1. Assumptions'!$B$133</f>
        <v>2500</v>
      </c>
      <c r="L23" s="47">
        <f>'1. Assumptions'!$B$133</f>
        <v>2500</v>
      </c>
      <c r="M23" s="47">
        <f>'1. Assumptions'!$B$133</f>
        <v>2500</v>
      </c>
    </row>
    <row r="24" spans="1:13" x14ac:dyDescent="0.2">
      <c r="A24" s="3" t="s">
        <v>76</v>
      </c>
      <c r="B24" s="48">
        <f>'1. Assumptions'!$C$122*0.5%</f>
        <v>1036.8</v>
      </c>
      <c r="C24" s="48">
        <f>'1. Assumptions'!$C$122*0.5%</f>
        <v>1036.8</v>
      </c>
      <c r="D24" s="48">
        <f>'1. Assumptions'!$C$122*0.5%</f>
        <v>1036.8</v>
      </c>
      <c r="E24" s="48">
        <f>'1. Assumptions'!$C$122*0.5%</f>
        <v>1036.8</v>
      </c>
      <c r="F24" s="48">
        <f>'1. Assumptions'!$C$122*0.5%</f>
        <v>1036.8</v>
      </c>
      <c r="G24" s="48">
        <f>'1. Assumptions'!$C$122*0.5%</f>
        <v>1036.8</v>
      </c>
      <c r="H24" s="48">
        <f>'1. Assumptions'!$C$122*0.5%</f>
        <v>1036.8</v>
      </c>
      <c r="I24" s="48">
        <f>'1. Assumptions'!$C$122*0.5%</f>
        <v>1036.8</v>
      </c>
      <c r="J24" s="48">
        <f>'1. Assumptions'!$C$122*0.5%</f>
        <v>1036.8</v>
      </c>
      <c r="K24" s="48">
        <f>'1. Assumptions'!$C$122*0.5%</f>
        <v>1036.8</v>
      </c>
      <c r="L24" s="48">
        <f>'1. Assumptions'!$C$122*0.5%</f>
        <v>1036.8</v>
      </c>
      <c r="M24" s="48">
        <f>'1. Assumptions'!$C$122*0.5%</f>
        <v>1036.8</v>
      </c>
    </row>
    <row r="25" spans="1:13" x14ac:dyDescent="0.2">
      <c r="A25" s="3" t="s">
        <v>77</v>
      </c>
      <c r="B25" s="46">
        <f>'1. Assumptions'!$C$141</f>
        <v>20736</v>
      </c>
      <c r="C25" s="46">
        <f>'1. Assumptions'!$C$141</f>
        <v>20736</v>
      </c>
      <c r="D25" s="46">
        <f>'1. Assumptions'!$C$141</f>
        <v>20736</v>
      </c>
      <c r="E25" s="46">
        <f>'1. Assumptions'!$C$141</f>
        <v>20736</v>
      </c>
      <c r="F25" s="46">
        <f>'1. Assumptions'!$C$141</f>
        <v>20736</v>
      </c>
      <c r="G25" s="46">
        <f>'1. Assumptions'!$C$141</f>
        <v>20736</v>
      </c>
      <c r="H25" s="46">
        <f>'1. Assumptions'!$C$141</f>
        <v>20736</v>
      </c>
      <c r="I25" s="46">
        <f>'1. Assumptions'!$C$141</f>
        <v>20736</v>
      </c>
      <c r="J25" s="46">
        <f>'1. Assumptions'!$C$141</f>
        <v>20736</v>
      </c>
      <c r="K25" s="46">
        <f>'1. Assumptions'!$C$141</f>
        <v>20736</v>
      </c>
      <c r="L25" s="46">
        <f>'1. Assumptions'!$C$141</f>
        <v>20736</v>
      </c>
      <c r="M25" s="46">
        <f>'1. Assumptions'!$C$141</f>
        <v>20736</v>
      </c>
    </row>
    <row r="26" spans="1:13" x14ac:dyDescent="0.2">
      <c r="A26" s="3" t="s">
        <v>78</v>
      </c>
      <c r="B26" s="46">
        <f>'1. Assumptions'!$B$143</f>
        <v>550</v>
      </c>
      <c r="C26" s="46">
        <f>'1. Assumptions'!$B$143</f>
        <v>550</v>
      </c>
      <c r="D26" s="46">
        <f>'1. Assumptions'!$B$143</f>
        <v>550</v>
      </c>
      <c r="E26" s="46">
        <f>'1. Assumptions'!$B$143</f>
        <v>550</v>
      </c>
      <c r="F26" s="46">
        <f>'1. Assumptions'!$B$143</f>
        <v>550</v>
      </c>
      <c r="G26" s="46">
        <f>'1. Assumptions'!$B$143</f>
        <v>550</v>
      </c>
      <c r="H26" s="46">
        <f>'1. Assumptions'!$B$143</f>
        <v>550</v>
      </c>
      <c r="I26" s="46">
        <f>'1. Assumptions'!$B$143</f>
        <v>550</v>
      </c>
      <c r="J26" s="46">
        <f>'1. Assumptions'!$B$143</f>
        <v>550</v>
      </c>
      <c r="K26" s="46">
        <f>'1. Assumptions'!$B$143</f>
        <v>550</v>
      </c>
      <c r="L26" s="46">
        <f>'1. Assumptions'!$B$143</f>
        <v>550</v>
      </c>
      <c r="M26" s="46">
        <f>'1. Assumptions'!$B$143</f>
        <v>550</v>
      </c>
    </row>
    <row r="27" spans="1:13" x14ac:dyDescent="0.2">
      <c r="A27" s="3" t="s">
        <v>87</v>
      </c>
      <c r="B27" s="46">
        <f>'1. Assumptions'!$C$171</f>
        <v>33023.4</v>
      </c>
      <c r="C27" s="46">
        <f>'1. Assumptions'!$C$171</f>
        <v>33023.4</v>
      </c>
      <c r="D27" s="46">
        <f>'1. Assumptions'!$C$171</f>
        <v>33023.4</v>
      </c>
      <c r="E27" s="46">
        <f>'1. Assumptions'!$C$171</f>
        <v>33023.4</v>
      </c>
      <c r="F27" s="46">
        <f>'1. Assumptions'!$C$171</f>
        <v>33023.4</v>
      </c>
      <c r="G27" s="46">
        <f>'1. Assumptions'!$C$171</f>
        <v>33023.4</v>
      </c>
      <c r="H27" s="46">
        <f>'1. Assumptions'!$C$171</f>
        <v>33023.4</v>
      </c>
      <c r="I27" s="46">
        <f>'1. Assumptions'!$C$171</f>
        <v>33023.4</v>
      </c>
      <c r="J27" s="46">
        <f>'1. Assumptions'!$C$171</f>
        <v>33023.4</v>
      </c>
      <c r="K27" s="46">
        <f>'1. Assumptions'!$C$171</f>
        <v>33023.4</v>
      </c>
      <c r="L27" s="46">
        <f>'1. Assumptions'!$C$171</f>
        <v>33023.4</v>
      </c>
      <c r="M27" s="46">
        <f>'1. Assumptions'!$C$171</f>
        <v>33023.4</v>
      </c>
    </row>
    <row r="28" spans="1:13" x14ac:dyDescent="0.2">
      <c r="A28" s="3" t="s">
        <v>88</v>
      </c>
      <c r="B28" s="46">
        <f>'1. Assumptions'!$C$170/12</f>
        <v>10573.052083333334</v>
      </c>
      <c r="C28" s="46">
        <f>'1. Assumptions'!$C$170/12</f>
        <v>10573.052083333334</v>
      </c>
      <c r="D28" s="46">
        <f>'1. Assumptions'!$C$170/12</f>
        <v>10573.052083333334</v>
      </c>
      <c r="E28" s="46">
        <f>'1. Assumptions'!$C$170/12</f>
        <v>10573.052083333334</v>
      </c>
      <c r="F28" s="46">
        <f>'1. Assumptions'!$C$170/12</f>
        <v>10573.052083333334</v>
      </c>
      <c r="G28" s="46">
        <f>'1. Assumptions'!$C$170/12</f>
        <v>10573.052083333334</v>
      </c>
      <c r="H28" s="46">
        <f>'1. Assumptions'!$C$170/12</f>
        <v>10573.052083333334</v>
      </c>
      <c r="I28" s="46">
        <f>'1. Assumptions'!$C$170/12</f>
        <v>10573.052083333334</v>
      </c>
      <c r="J28" s="46">
        <f>'1. Assumptions'!$C$170/12</f>
        <v>10573.052083333334</v>
      </c>
      <c r="K28" s="46">
        <f>'1. Assumptions'!$C$170/12</f>
        <v>10573.052083333334</v>
      </c>
      <c r="L28" s="46">
        <f>'1. Assumptions'!$C$170/12</f>
        <v>10573.052083333334</v>
      </c>
      <c r="M28" s="46">
        <f>'1. Assumptions'!$C$170/12</f>
        <v>10573.052083333334</v>
      </c>
    </row>
    <row r="29" spans="1:13" x14ac:dyDescent="0.2">
      <c r="A29" s="3" t="s">
        <v>79</v>
      </c>
      <c r="B29" s="46">
        <f>'1. Assumptions'!$B$145</f>
        <v>15000</v>
      </c>
      <c r="C29" s="46">
        <f>'1. Assumptions'!$B$145</f>
        <v>15000</v>
      </c>
      <c r="D29" s="46">
        <f>'1. Assumptions'!$B$145</f>
        <v>15000</v>
      </c>
      <c r="E29" s="46">
        <f>'1. Assumptions'!$B$145</f>
        <v>15000</v>
      </c>
      <c r="F29" s="46">
        <f>'1. Assumptions'!$B$145</f>
        <v>15000</v>
      </c>
      <c r="G29" s="46">
        <f>'1. Assumptions'!$B$145</f>
        <v>15000</v>
      </c>
      <c r="H29" s="46">
        <f>'1. Assumptions'!$B$145</f>
        <v>15000</v>
      </c>
      <c r="I29" s="46">
        <f>'1. Assumptions'!$B$145</f>
        <v>15000</v>
      </c>
      <c r="J29" s="46">
        <f>'1. Assumptions'!$B$145</f>
        <v>15000</v>
      </c>
      <c r="K29" s="46">
        <f>'1. Assumptions'!$B$145</f>
        <v>15000</v>
      </c>
      <c r="L29" s="46">
        <f>'1. Assumptions'!$B$145</f>
        <v>15000</v>
      </c>
      <c r="M29" s="46">
        <f>'1. Assumptions'!$B$145</f>
        <v>15000</v>
      </c>
    </row>
    <row r="30" spans="1:13" x14ac:dyDescent="0.2">
      <c r="A30" s="3" t="s">
        <v>80</v>
      </c>
      <c r="B30" s="46">
        <f>SUM(B16:B17)</f>
        <v>2448596.2555502234</v>
      </c>
      <c r="C30" s="46">
        <f t="shared" ref="C30:M30" si="3">SUM(C16:C17)</f>
        <v>1892905.5625</v>
      </c>
      <c r="D30" s="46">
        <f t="shared" si="3"/>
        <v>2544449.3125</v>
      </c>
      <c r="E30" s="46">
        <f t="shared" si="3"/>
        <v>2327268.0625</v>
      </c>
      <c r="F30" s="46">
        <f t="shared" si="3"/>
        <v>2544449.3125</v>
      </c>
      <c r="G30" s="46">
        <f t="shared" si="3"/>
        <v>2327268.0625</v>
      </c>
      <c r="H30" s="46">
        <f t="shared" si="3"/>
        <v>2544449.3125</v>
      </c>
      <c r="I30" s="46">
        <f t="shared" si="3"/>
        <v>2544449.3125</v>
      </c>
      <c r="J30" s="46">
        <f t="shared" si="3"/>
        <v>2327268.0625</v>
      </c>
      <c r="K30" s="46">
        <f t="shared" si="3"/>
        <v>2544449.3125</v>
      </c>
      <c r="L30" s="46">
        <f t="shared" si="3"/>
        <v>2327268.0625</v>
      </c>
      <c r="M30" s="46">
        <f t="shared" si="3"/>
        <v>2544449.3125</v>
      </c>
    </row>
    <row r="31" spans="1:13" x14ac:dyDescent="0.2">
      <c r="A31" s="3" t="s">
        <v>81</v>
      </c>
      <c r="B31" s="46">
        <f>'Projected BS'!$C$155</f>
        <v>15419.985689019726</v>
      </c>
      <c r="C31" s="46">
        <f>'Projected BS'!$C$155</f>
        <v>15419.985689019726</v>
      </c>
      <c r="D31" s="46">
        <f>'Projected BS'!$C$155</f>
        <v>15419.985689019726</v>
      </c>
      <c r="E31" s="46">
        <f>'Projected BS'!$C$155</f>
        <v>15419.985689019726</v>
      </c>
      <c r="F31" s="46">
        <f>'Projected BS'!$C$155</f>
        <v>15419.985689019726</v>
      </c>
      <c r="G31" s="46">
        <f>'Projected BS'!$C$155</f>
        <v>15419.985689019726</v>
      </c>
      <c r="H31" s="46">
        <f>'Projected BS'!$C$155</f>
        <v>15419.985689019726</v>
      </c>
      <c r="I31" s="46">
        <f>'Projected BS'!$C$155</f>
        <v>15419.985689019726</v>
      </c>
      <c r="J31" s="46">
        <f>'Projected BS'!$C$155</f>
        <v>15419.985689019726</v>
      </c>
      <c r="K31" s="46">
        <f>'Projected BS'!$C$155</f>
        <v>15419.985689019726</v>
      </c>
      <c r="L31" s="46">
        <f>'Projected BS'!$C$155</f>
        <v>15419.985689019726</v>
      </c>
      <c r="M31" s="46">
        <f>'Projected BS'!$C$155</f>
        <v>15419.985689019726</v>
      </c>
    </row>
    <row r="32" spans="1:13" x14ac:dyDescent="0.2">
      <c r="A32" s="3" t="s">
        <v>82</v>
      </c>
      <c r="B32" s="46">
        <f>SUM(B30,B31)</f>
        <v>2464016.2412392432</v>
      </c>
      <c r="C32" s="46">
        <f t="shared" ref="C32:L32" si="4">SUM(C30,C31)</f>
        <v>1908325.5481890198</v>
      </c>
      <c r="D32" s="46">
        <f t="shared" si="4"/>
        <v>2559869.2981890198</v>
      </c>
      <c r="E32" s="46">
        <f t="shared" si="4"/>
        <v>2342688.0481890198</v>
      </c>
      <c r="F32" s="46">
        <f t="shared" si="4"/>
        <v>2559869.2981890198</v>
      </c>
      <c r="G32" s="46">
        <f t="shared" si="4"/>
        <v>2342688.0481890198</v>
      </c>
      <c r="H32" s="46">
        <f t="shared" si="4"/>
        <v>2559869.2981890198</v>
      </c>
      <c r="I32" s="46">
        <f t="shared" si="4"/>
        <v>2559869.2981890198</v>
      </c>
      <c r="J32" s="46">
        <f t="shared" si="4"/>
        <v>2342688.0481890198</v>
      </c>
      <c r="K32" s="46">
        <f t="shared" si="4"/>
        <v>2559869.2981890198</v>
      </c>
      <c r="L32" s="46">
        <f t="shared" si="4"/>
        <v>2342688.0481890198</v>
      </c>
      <c r="M32" s="46">
        <f>SUM(M30,M31)</f>
        <v>2559869.2981890198</v>
      </c>
    </row>
    <row r="33" spans="1:13" x14ac:dyDescent="0.2">
      <c r="A33" s="3" t="s">
        <v>83</v>
      </c>
      <c r="B33" s="46">
        <f>B32*27%</f>
        <v>665284.38513459568</v>
      </c>
      <c r="C33" s="46">
        <f t="shared" ref="C33:J33" si="5">C32*27%</f>
        <v>515247.8980110354</v>
      </c>
      <c r="D33" s="46">
        <f t="shared" si="5"/>
        <v>691164.7105110354</v>
      </c>
      <c r="E33" s="46">
        <f t="shared" si="5"/>
        <v>632525.7730110354</v>
      </c>
      <c r="F33" s="46">
        <f t="shared" si="5"/>
        <v>691164.7105110354</v>
      </c>
      <c r="G33" s="46">
        <f t="shared" si="5"/>
        <v>632525.7730110354</v>
      </c>
      <c r="H33" s="46">
        <f t="shared" si="5"/>
        <v>691164.7105110354</v>
      </c>
      <c r="I33" s="46">
        <f t="shared" si="5"/>
        <v>691164.7105110354</v>
      </c>
      <c r="J33" s="46">
        <f t="shared" si="5"/>
        <v>632525.7730110354</v>
      </c>
      <c r="K33" s="46">
        <f>K32*27%</f>
        <v>691164.7105110354</v>
      </c>
      <c r="L33" s="46">
        <f t="shared" ref="L33" si="6">L32*27%</f>
        <v>632525.7730110354</v>
      </c>
      <c r="M33" s="46">
        <f t="shared" ref="M33" si="7">M32*27%</f>
        <v>691164.7105110354</v>
      </c>
    </row>
    <row r="34" spans="1:13" x14ac:dyDescent="0.2">
      <c r="A34" s="3" t="s">
        <v>84</v>
      </c>
      <c r="B34" s="46">
        <f>SUM(B32:B33)</f>
        <v>3129300.6263738386</v>
      </c>
      <c r="C34" s="46">
        <f t="shared" ref="C34:L34" si="8">SUM(C32:C33)</f>
        <v>2423573.4462000551</v>
      </c>
      <c r="D34" s="46">
        <f t="shared" si="8"/>
        <v>3251034.0087000551</v>
      </c>
      <c r="E34" s="46">
        <f t="shared" si="8"/>
        <v>2975213.8212000551</v>
      </c>
      <c r="F34" s="46">
        <f t="shared" si="8"/>
        <v>3251034.0087000551</v>
      </c>
      <c r="G34" s="46">
        <f t="shared" si="8"/>
        <v>2975213.8212000551</v>
      </c>
      <c r="H34" s="46">
        <f t="shared" si="8"/>
        <v>3251034.0087000551</v>
      </c>
      <c r="I34" s="46">
        <f t="shared" si="8"/>
        <v>3251034.0087000551</v>
      </c>
      <c r="J34" s="46">
        <f t="shared" si="8"/>
        <v>2975213.8212000551</v>
      </c>
      <c r="K34" s="46">
        <f t="shared" si="8"/>
        <v>3251034.0087000551</v>
      </c>
      <c r="L34" s="46">
        <f t="shared" si="8"/>
        <v>2975213.8212000551</v>
      </c>
      <c r="M34" s="46">
        <f>SUM(M32:M33)</f>
        <v>3251034.0087000551</v>
      </c>
    </row>
  </sheetData>
  <mergeCells count="1">
    <mergeCell ref="B3:M3"/>
  </mergeCells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CA4D-EEDC-244D-8E11-30387262283C}">
  <sheetPr>
    <tabColor theme="9"/>
  </sheetPr>
  <dimension ref="A1:N160"/>
  <sheetViews>
    <sheetView topLeftCell="A39" workbookViewId="0">
      <selection activeCell="K15" sqref="K15"/>
    </sheetView>
  </sheetViews>
  <sheetFormatPr baseColWidth="10" defaultRowHeight="16" x14ac:dyDescent="0.2"/>
  <cols>
    <col min="1" max="1" width="32.33203125" customWidth="1"/>
    <col min="2" max="2" width="26.5" customWidth="1"/>
    <col min="3" max="3" width="22.33203125" bestFit="1" customWidth="1"/>
    <col min="4" max="5" width="26.1640625" bestFit="1" customWidth="1"/>
    <col min="6" max="6" width="21" bestFit="1" customWidth="1"/>
    <col min="7" max="8" width="17.6640625" bestFit="1" customWidth="1"/>
    <col min="9" max="9" width="16.6640625" customWidth="1"/>
    <col min="10" max="14" width="17.6640625" bestFit="1" customWidth="1"/>
  </cols>
  <sheetData>
    <row r="1" spans="1:11" x14ac:dyDescent="0.2">
      <c r="A1" s="59" t="s">
        <v>224</v>
      </c>
    </row>
    <row r="3" spans="1:11" x14ac:dyDescent="0.2">
      <c r="A3" s="13" t="s">
        <v>225</v>
      </c>
    </row>
    <row r="4" spans="1:11" ht="17" thickBot="1" x14ac:dyDescent="0.25"/>
    <row r="5" spans="1:11" ht="17" thickBot="1" x14ac:dyDescent="0.25">
      <c r="A5" s="54" t="s">
        <v>195</v>
      </c>
      <c r="B5" s="145" t="s">
        <v>220</v>
      </c>
      <c r="C5" s="146"/>
      <c r="D5" s="146"/>
      <c r="E5" s="146"/>
      <c r="F5" s="146"/>
      <c r="G5" s="146"/>
      <c r="H5" s="146"/>
      <c r="I5" s="146"/>
      <c r="J5" s="146"/>
      <c r="K5" s="147"/>
    </row>
    <row r="6" spans="1:11" x14ac:dyDescent="0.2">
      <c r="B6" s="58">
        <v>2026</v>
      </c>
      <c r="C6" s="58">
        <v>2027</v>
      </c>
      <c r="D6" s="58">
        <v>2028</v>
      </c>
      <c r="E6" s="58">
        <v>2029</v>
      </c>
      <c r="F6" s="58">
        <v>2030</v>
      </c>
      <c r="G6" s="58">
        <v>2031</v>
      </c>
      <c r="H6" s="58">
        <v>2032</v>
      </c>
      <c r="I6" s="58">
        <v>2033</v>
      </c>
      <c r="J6" s="58">
        <v>2034</v>
      </c>
      <c r="K6" s="58">
        <v>2035</v>
      </c>
    </row>
    <row r="7" spans="1:11" x14ac:dyDescent="0.2">
      <c r="A7" s="53" t="s">
        <v>173</v>
      </c>
    </row>
    <row r="8" spans="1:11" x14ac:dyDescent="0.2">
      <c r="A8" s="53" t="s">
        <v>174</v>
      </c>
      <c r="B8" s="101">
        <f>SUM(B9:B12)</f>
        <v>15110918.600000007</v>
      </c>
      <c r="C8" s="101">
        <f t="shared" ref="C8:K8" si="0">SUM(C9:C12)</f>
        <v>40947043.250000015</v>
      </c>
      <c r="D8" s="101">
        <f t="shared" si="0"/>
        <v>54695522.642500021</v>
      </c>
      <c r="E8" s="101">
        <f t="shared" si="0"/>
        <v>69205099.514625028</v>
      </c>
      <c r="F8" s="101">
        <f t="shared" si="0"/>
        <v>84513828.740356296</v>
      </c>
      <c r="G8" s="101">
        <f t="shared" si="0"/>
        <v>100885138.13737412</v>
      </c>
      <c r="H8" s="101">
        <f t="shared" si="0"/>
        <v>118137513.00424284</v>
      </c>
      <c r="I8" s="101">
        <f t="shared" si="0"/>
        <v>136315006.61445498</v>
      </c>
      <c r="J8" s="101">
        <f t="shared" si="0"/>
        <v>155463874.90517774</v>
      </c>
      <c r="K8" s="101">
        <f t="shared" si="0"/>
        <v>175632686.61043665</v>
      </c>
    </row>
    <row r="9" spans="1:11" x14ac:dyDescent="0.2">
      <c r="A9" t="s">
        <v>175</v>
      </c>
      <c r="B9" s="106">
        <v>0</v>
      </c>
      <c r="C9" s="111">
        <f>C40-C44</f>
        <v>9250000</v>
      </c>
      <c r="D9" s="111">
        <f t="shared" ref="D9:K9" si="1">C9-D44</f>
        <v>8250000</v>
      </c>
      <c r="E9" s="111">
        <f t="shared" si="1"/>
        <v>7250000</v>
      </c>
      <c r="F9" s="111">
        <f t="shared" si="1"/>
        <v>6250000</v>
      </c>
      <c r="G9" s="111">
        <f t="shared" si="1"/>
        <v>5250000</v>
      </c>
      <c r="H9" s="111">
        <f t="shared" si="1"/>
        <v>4250000</v>
      </c>
      <c r="I9" s="111">
        <f t="shared" si="1"/>
        <v>3250000</v>
      </c>
      <c r="J9" s="111">
        <f t="shared" si="1"/>
        <v>2250000</v>
      </c>
      <c r="K9" s="112">
        <f t="shared" si="1"/>
        <v>1250000</v>
      </c>
    </row>
    <row r="10" spans="1:11" x14ac:dyDescent="0.2">
      <c r="A10" t="s">
        <v>284</v>
      </c>
      <c r="B10" s="113">
        <f>$C$51+C54</f>
        <v>14217037.800000006</v>
      </c>
      <c r="C10" s="46">
        <f t="shared" ref="C10:K10" si="2">B10+D54</f>
        <v>28714132.650000013</v>
      </c>
      <c r="D10" s="46">
        <f t="shared" si="2"/>
        <v>43936082.242500022</v>
      </c>
      <c r="E10" s="46">
        <f t="shared" si="2"/>
        <v>59919129.314625032</v>
      </c>
      <c r="F10" s="46">
        <f t="shared" si="2"/>
        <v>76701328.740356296</v>
      </c>
      <c r="G10" s="46">
        <f t="shared" si="2"/>
        <v>94322638.137374118</v>
      </c>
      <c r="H10" s="46">
        <f t="shared" si="2"/>
        <v>112825013.00424284</v>
      </c>
      <c r="I10" s="46">
        <f t="shared" si="2"/>
        <v>132252506.61445498</v>
      </c>
      <c r="J10" s="46">
        <f t="shared" si="2"/>
        <v>152651374.90517774</v>
      </c>
      <c r="K10" s="114">
        <f t="shared" si="2"/>
        <v>174070186.61043665</v>
      </c>
    </row>
    <row r="11" spans="1:11" x14ac:dyDescent="0.2">
      <c r="A11" t="s">
        <v>176</v>
      </c>
      <c r="B11" s="113">
        <f>C57-C60</f>
        <v>893880.8</v>
      </c>
      <c r="C11" s="46">
        <f>B11-D60</f>
        <v>670410.60000000009</v>
      </c>
      <c r="D11" s="46">
        <f>C11-E60</f>
        <v>446940.40000000008</v>
      </c>
      <c r="E11" s="46">
        <f>D11-F60</f>
        <v>223470.20000000007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123">
        <v>0</v>
      </c>
    </row>
    <row r="12" spans="1:11" x14ac:dyDescent="0.2">
      <c r="A12" t="s">
        <v>177</v>
      </c>
      <c r="B12" s="110">
        <v>0</v>
      </c>
      <c r="C12" s="115">
        <f>C63-C66</f>
        <v>2312500</v>
      </c>
      <c r="D12" s="115">
        <f t="shared" ref="D12:K12" si="3">C12-D66</f>
        <v>2062500</v>
      </c>
      <c r="E12" s="115">
        <f t="shared" si="3"/>
        <v>1812500</v>
      </c>
      <c r="F12" s="115">
        <f t="shared" si="3"/>
        <v>1562500</v>
      </c>
      <c r="G12" s="115">
        <f t="shared" si="3"/>
        <v>1312500</v>
      </c>
      <c r="H12" s="115">
        <f t="shared" si="3"/>
        <v>1062500</v>
      </c>
      <c r="I12" s="115">
        <f t="shared" si="3"/>
        <v>812500</v>
      </c>
      <c r="J12" s="115">
        <f t="shared" si="3"/>
        <v>562500</v>
      </c>
      <c r="K12" s="116">
        <f t="shared" si="3"/>
        <v>312500</v>
      </c>
    </row>
    <row r="14" spans="1:11" x14ac:dyDescent="0.2">
      <c r="A14" s="53" t="s">
        <v>178</v>
      </c>
      <c r="B14" s="101">
        <f>B15</f>
        <v>130858496.28752045</v>
      </c>
      <c r="C14" s="101">
        <f t="shared" ref="C14:I14" si="4">C15</f>
        <v>309134955.61739933</v>
      </c>
      <c r="D14" s="101">
        <f t="shared" si="4"/>
        <v>523846382.42699909</v>
      </c>
      <c r="E14" s="101">
        <f t="shared" si="4"/>
        <v>765244554.25104856</v>
      </c>
      <c r="F14" s="101">
        <f t="shared" si="4"/>
        <v>1037028020.0067743</v>
      </c>
      <c r="G14" s="101">
        <f t="shared" si="4"/>
        <v>1343094288.4799745</v>
      </c>
      <c r="H14" s="101">
        <f t="shared" si="4"/>
        <v>1688642788.2288535</v>
      </c>
      <c r="I14" s="101">
        <f t="shared" si="4"/>
        <v>2079244406.2075372</v>
      </c>
      <c r="J14" s="101">
        <f>J15</f>
        <v>2521288441.4741473</v>
      </c>
      <c r="K14" s="101">
        <f t="shared" ref="K14" si="5">K15</f>
        <v>3022104523.1803818</v>
      </c>
    </row>
    <row r="15" spans="1:11" x14ac:dyDescent="0.2">
      <c r="A15" t="s">
        <v>179</v>
      </c>
      <c r="B15" s="118">
        <f>'Projected CFS'!B33</f>
        <v>130858496.28752045</v>
      </c>
      <c r="C15" s="119">
        <f>'Projected CFS'!C33</f>
        <v>309134955.61739933</v>
      </c>
      <c r="D15" s="119">
        <f>'Projected CFS'!D33</f>
        <v>523846382.42699909</v>
      </c>
      <c r="E15" s="119">
        <f>'Projected CFS'!E33</f>
        <v>765244554.25104856</v>
      </c>
      <c r="F15" s="119">
        <f>'Projected CFS'!F33</f>
        <v>1037028020.0067743</v>
      </c>
      <c r="G15" s="119">
        <f>'Projected CFS'!G33</f>
        <v>1343094288.4799745</v>
      </c>
      <c r="H15" s="119">
        <f>'Projected CFS'!H33</f>
        <v>1688642788.2288535</v>
      </c>
      <c r="I15" s="119">
        <f>'Projected CFS'!I33</f>
        <v>2079244406.2075372</v>
      </c>
      <c r="J15" s="119">
        <f>'Projected CFS'!J33</f>
        <v>2521288441.4741473</v>
      </c>
      <c r="K15" s="120">
        <f>'Projected CFS'!K33</f>
        <v>3022104523.1803818</v>
      </c>
    </row>
    <row r="17" spans="1:11" x14ac:dyDescent="0.2">
      <c r="A17" s="53" t="s">
        <v>180</v>
      </c>
      <c r="B17" s="101">
        <f>SUM(B8,B14)</f>
        <v>145969414.88752046</v>
      </c>
      <c r="C17" s="101">
        <f t="shared" ref="C17:K17" si="6">SUM(C8,C14)</f>
        <v>350081998.86739933</v>
      </c>
      <c r="D17" s="101">
        <f t="shared" si="6"/>
        <v>578541905.06949914</v>
      </c>
      <c r="E17" s="101">
        <f t="shared" si="6"/>
        <v>834449653.76567364</v>
      </c>
      <c r="F17" s="101">
        <f t="shared" si="6"/>
        <v>1121541848.7471306</v>
      </c>
      <c r="G17" s="101">
        <f t="shared" si="6"/>
        <v>1443979426.6173487</v>
      </c>
      <c r="H17" s="101">
        <f t="shared" si="6"/>
        <v>1806780301.2330964</v>
      </c>
      <c r="I17" s="101">
        <f t="shared" si="6"/>
        <v>2215559412.8219919</v>
      </c>
      <c r="J17" s="101">
        <f t="shared" si="6"/>
        <v>2676752316.3793249</v>
      </c>
      <c r="K17" s="101">
        <f t="shared" si="6"/>
        <v>3197737209.7908182</v>
      </c>
    </row>
    <row r="19" spans="1:11" x14ac:dyDescent="0.2">
      <c r="A19" s="53" t="s">
        <v>181</v>
      </c>
    </row>
    <row r="20" spans="1:11" x14ac:dyDescent="0.2">
      <c r="A20" s="53" t="s">
        <v>182</v>
      </c>
      <c r="B20" s="101">
        <f t="shared" ref="B20:K20" si="7">SUM(B21:B24)</f>
        <v>68679131.241395339</v>
      </c>
      <c r="C20" s="101">
        <f t="shared" si="7"/>
        <v>152239472.36207348</v>
      </c>
      <c r="D20" s="101">
        <f t="shared" si="7"/>
        <v>253641325.18288884</v>
      </c>
      <c r="E20" s="101">
        <f t="shared" si="7"/>
        <v>375993512.90537065</v>
      </c>
      <c r="F20" s="101">
        <f t="shared" si="7"/>
        <v>522713500.351219</v>
      </c>
      <c r="G20" s="101">
        <f t="shared" si="7"/>
        <v>697850879.49002492</v>
      </c>
      <c r="H20" s="101">
        <f t="shared" si="7"/>
        <v>905848833.26019132</v>
      </c>
      <c r="I20" s="101">
        <f t="shared" si="7"/>
        <v>1151953787.440273</v>
      </c>
      <c r="J20" s="101">
        <f t="shared" si="7"/>
        <v>1442214681.3152165</v>
      </c>
      <c r="K20" s="101">
        <f t="shared" si="7"/>
        <v>1783604106.6346598</v>
      </c>
    </row>
    <row r="21" spans="1:11" x14ac:dyDescent="0.2">
      <c r="A21" t="s">
        <v>304</v>
      </c>
      <c r="B21" s="106">
        <v>100000</v>
      </c>
      <c r="C21" s="111">
        <v>100000</v>
      </c>
      <c r="D21" s="111">
        <v>100000</v>
      </c>
      <c r="E21" s="111">
        <v>100000</v>
      </c>
      <c r="F21" s="111">
        <v>100000</v>
      </c>
      <c r="G21" s="111">
        <v>100000</v>
      </c>
      <c r="H21" s="111">
        <v>100000</v>
      </c>
      <c r="I21" s="111">
        <v>100000</v>
      </c>
      <c r="J21" s="111">
        <v>100000</v>
      </c>
      <c r="K21" s="112">
        <v>100000</v>
      </c>
    </row>
    <row r="22" spans="1:11" x14ac:dyDescent="0.2">
      <c r="A22" t="s">
        <v>184</v>
      </c>
      <c r="B22" s="113">
        <v>0</v>
      </c>
      <c r="C22" s="46">
        <f>SUM(B23:B24)</f>
        <v>68579131.241395339</v>
      </c>
      <c r="D22" s="46">
        <f t="shared" ref="D22:K22" si="8">(SUM(C22,(C24*65%)))</f>
        <v>152139472.36207348</v>
      </c>
      <c r="E22" s="46">
        <f t="shared" si="8"/>
        <v>253541325.18288884</v>
      </c>
      <c r="F22" s="46">
        <f t="shared" si="8"/>
        <v>375893512.90537065</v>
      </c>
      <c r="G22" s="46">
        <f t="shared" si="8"/>
        <v>522613500.35121894</v>
      </c>
      <c r="H22" s="46">
        <f t="shared" si="8"/>
        <v>697750879.49002492</v>
      </c>
      <c r="I22" s="46">
        <f t="shared" si="8"/>
        <v>905748833.26019132</v>
      </c>
      <c r="J22" s="46">
        <f t="shared" si="8"/>
        <v>1151853787.440273</v>
      </c>
      <c r="K22" s="114">
        <f t="shared" si="8"/>
        <v>1442114681.3152165</v>
      </c>
    </row>
    <row r="23" spans="1:11" x14ac:dyDescent="0.2">
      <c r="A23" t="s">
        <v>303</v>
      </c>
      <c r="B23" s="113">
        <f>-B24*35%</f>
        <v>-36927224.51459749</v>
      </c>
      <c r="C23" s="46">
        <f>-C24*35%</f>
        <v>-44994029.83421129</v>
      </c>
      <c r="D23" s="46">
        <f t="shared" ref="D23:I23" si="9">-D24*35%</f>
        <v>-54600997.672746725</v>
      </c>
      <c r="E23" s="46">
        <f t="shared" si="9"/>
        <v>-65881947.235182501</v>
      </c>
      <c r="F23" s="46">
        <f t="shared" si="9"/>
        <v>-79003070.163149089</v>
      </c>
      <c r="G23" s="46">
        <f t="shared" si="9"/>
        <v>-94304742.613203198</v>
      </c>
      <c r="H23" s="46">
        <f t="shared" si="9"/>
        <v>-111998898.18393575</v>
      </c>
      <c r="I23" s="46">
        <f t="shared" si="9"/>
        <v>-132518052.25081319</v>
      </c>
      <c r="J23" s="46">
        <f>-J24*35%</f>
        <v>-156294327.47112337</v>
      </c>
      <c r="K23" s="114">
        <f>-K24*35%</f>
        <v>-183825075.17200795</v>
      </c>
    </row>
    <row r="24" spans="1:11" x14ac:dyDescent="0.2">
      <c r="A24" t="s">
        <v>185</v>
      </c>
      <c r="B24" s="110">
        <f>'3. SOPL (Best Case Scenario)'!B24</f>
        <v>105506355.75599283</v>
      </c>
      <c r="C24" s="115">
        <f>'3. SOPL (Best Case Scenario)'!C24</f>
        <v>128554370.95488942</v>
      </c>
      <c r="D24" s="115">
        <f>'3. SOPL (Best Case Scenario)'!D24</f>
        <v>156002850.49356207</v>
      </c>
      <c r="E24" s="115">
        <f>'3. SOPL (Best Case Scenario)'!E24</f>
        <v>188234134.95766431</v>
      </c>
      <c r="F24" s="115">
        <f>'3. SOPL (Best Case Scenario)'!F24</f>
        <v>225723057.6089974</v>
      </c>
      <c r="G24" s="115">
        <f>'3. SOPL (Best Case Scenario)'!G24</f>
        <v>269442121.75200915</v>
      </c>
      <c r="H24" s="115">
        <f>'3. SOPL (Best Case Scenario)'!H24</f>
        <v>319996851.95410216</v>
      </c>
      <c r="I24" s="115">
        <f>'3. SOPL (Best Case Scenario)'!I24</f>
        <v>378623006.43089485</v>
      </c>
      <c r="J24" s="115">
        <f>'3. SOPL (Best Case Scenario)'!J24</f>
        <v>446555221.34606683</v>
      </c>
      <c r="K24" s="116">
        <f>'3. SOPL (Best Case Scenario)'!K24</f>
        <v>525214500.49145132</v>
      </c>
    </row>
    <row r="25" spans="1:11" x14ac:dyDescent="0.2">
      <c r="A25" s="53" t="s">
        <v>186</v>
      </c>
      <c r="B25" s="101">
        <f>SUM(B26:B27)</f>
        <v>69889004.884306043</v>
      </c>
      <c r="C25" s="101">
        <f t="shared" ref="C25:K25" si="10">SUM(C26:C27)</f>
        <v>62488515.068150692</v>
      </c>
      <c r="D25" s="101">
        <f>SUM(D26:D27)</f>
        <v>55088025.25199534</v>
      </c>
      <c r="E25" s="101">
        <f t="shared" si="10"/>
        <v>47687535.435839988</v>
      </c>
      <c r="F25" s="101">
        <f t="shared" si="10"/>
        <v>40287045.619684637</v>
      </c>
      <c r="G25" s="101">
        <f t="shared" si="10"/>
        <v>32886555.803529285</v>
      </c>
      <c r="H25" s="101">
        <f t="shared" si="10"/>
        <v>25486065.987373933</v>
      </c>
      <c r="I25" s="101">
        <f t="shared" si="10"/>
        <v>18085576.171218581</v>
      </c>
      <c r="J25" s="101">
        <f t="shared" si="10"/>
        <v>10685086.35506323</v>
      </c>
      <c r="K25" s="101">
        <f t="shared" si="10"/>
        <v>3284596.5389078781</v>
      </c>
    </row>
    <row r="26" spans="1:11" x14ac:dyDescent="0.2">
      <c r="A26" t="s">
        <v>187</v>
      </c>
      <c r="B26" s="106">
        <f>C77</f>
        <v>77289494.700461403</v>
      </c>
      <c r="C26" s="106">
        <f>B25</f>
        <v>69889004.884306043</v>
      </c>
      <c r="D26" s="106">
        <f>C25</f>
        <v>62488515.068150692</v>
      </c>
      <c r="E26" s="106">
        <f t="shared" ref="E26:K26" si="11">D25</f>
        <v>55088025.25199534</v>
      </c>
      <c r="F26" s="106">
        <f t="shared" si="11"/>
        <v>47687535.435839988</v>
      </c>
      <c r="G26" s="106">
        <f t="shared" si="11"/>
        <v>40287045.619684637</v>
      </c>
      <c r="H26" s="106">
        <f t="shared" si="11"/>
        <v>32886555.803529285</v>
      </c>
      <c r="I26" s="106">
        <f t="shared" si="11"/>
        <v>25486065.987373933</v>
      </c>
      <c r="J26" s="106">
        <f t="shared" si="11"/>
        <v>18085576.171218581</v>
      </c>
      <c r="K26" s="106">
        <f t="shared" si="11"/>
        <v>10685086.35506323</v>
      </c>
    </row>
    <row r="27" spans="1:11" x14ac:dyDescent="0.2">
      <c r="A27" t="s">
        <v>188</v>
      </c>
      <c r="B27" s="110">
        <f>-$C$74*12</f>
        <v>-7400489.8161553517</v>
      </c>
      <c r="C27" s="110">
        <f t="shared" ref="C27:K27" si="12">-$C$74*12</f>
        <v>-7400489.8161553517</v>
      </c>
      <c r="D27" s="110">
        <f t="shared" si="12"/>
        <v>-7400489.8161553517</v>
      </c>
      <c r="E27" s="110">
        <f t="shared" si="12"/>
        <v>-7400489.8161553517</v>
      </c>
      <c r="F27" s="110">
        <f t="shared" si="12"/>
        <v>-7400489.8161553517</v>
      </c>
      <c r="G27" s="110">
        <f t="shared" si="12"/>
        <v>-7400489.8161553517</v>
      </c>
      <c r="H27" s="110">
        <f t="shared" si="12"/>
        <v>-7400489.8161553517</v>
      </c>
      <c r="I27" s="110">
        <f>-$C$74*12</f>
        <v>-7400489.8161553517</v>
      </c>
      <c r="J27" s="110">
        <f t="shared" si="12"/>
        <v>-7400489.8161553517</v>
      </c>
      <c r="K27" s="110">
        <f t="shared" si="12"/>
        <v>-7400489.8161553517</v>
      </c>
    </row>
    <row r="28" spans="1:11" x14ac:dyDescent="0.2">
      <c r="A28" s="53" t="s">
        <v>189</v>
      </c>
      <c r="B28" s="101">
        <f>SUM(B29:B30)</f>
        <v>7401278.8161553517</v>
      </c>
      <c r="C28" s="101">
        <f t="shared" ref="C28:K28" si="13">SUM(C29:C30)</f>
        <v>135354011.81615534</v>
      </c>
      <c r="D28" s="101">
        <f t="shared" si="13"/>
        <v>269812554.81615537</v>
      </c>
      <c r="E28" s="101">
        <f t="shared" si="13"/>
        <v>410768605.81615537</v>
      </c>
      <c r="F28" s="101">
        <f t="shared" si="13"/>
        <v>558541302.81615531</v>
      </c>
      <c r="G28" s="101">
        <f t="shared" si="13"/>
        <v>713241991.81615531</v>
      </c>
      <c r="H28" s="101">
        <f t="shared" si="13"/>
        <v>875445401.81615531</v>
      </c>
      <c r="I28" s="101">
        <f t="shared" si="13"/>
        <v>1045520048.8161553</v>
      </c>
      <c r="J28" s="101">
        <f t="shared" si="13"/>
        <v>1223852548.8161554</v>
      </c>
      <c r="K28" s="101">
        <f t="shared" si="13"/>
        <v>1410848506.8161554</v>
      </c>
    </row>
    <row r="29" spans="1:11" x14ac:dyDescent="0.2">
      <c r="A29" t="s">
        <v>188</v>
      </c>
      <c r="B29" s="106">
        <f>-B27</f>
        <v>7400489.8161553517</v>
      </c>
      <c r="C29" s="111">
        <f>-C27</f>
        <v>7400489.8161553517</v>
      </c>
      <c r="D29" s="111">
        <f t="shared" ref="D29:J29" si="14">-D27</f>
        <v>7400489.8161553517</v>
      </c>
      <c r="E29" s="111">
        <f t="shared" si="14"/>
        <v>7400489.8161553517</v>
      </c>
      <c r="F29" s="111">
        <f t="shared" si="14"/>
        <v>7400489.8161553517</v>
      </c>
      <c r="G29" s="111">
        <f>-G27</f>
        <v>7400489.8161553517</v>
      </c>
      <c r="H29" s="111">
        <f t="shared" si="14"/>
        <v>7400489.8161553517</v>
      </c>
      <c r="I29" s="111">
        <f>-I27</f>
        <v>7400489.8161553517</v>
      </c>
      <c r="J29" s="111">
        <f t="shared" si="14"/>
        <v>7400489.8161553517</v>
      </c>
      <c r="K29" s="112">
        <f>-K27</f>
        <v>7400489.8161553517</v>
      </c>
    </row>
    <row r="30" spans="1:11" x14ac:dyDescent="0.2">
      <c r="A30" t="s">
        <v>190</v>
      </c>
      <c r="B30" s="107">
        <v>789</v>
      </c>
      <c r="C30" s="115">
        <v>127953522</v>
      </c>
      <c r="D30" s="108">
        <v>262412065</v>
      </c>
      <c r="E30" s="108">
        <v>403368116</v>
      </c>
      <c r="F30" s="108">
        <v>551140813</v>
      </c>
      <c r="G30" s="108">
        <v>705841502</v>
      </c>
      <c r="H30" s="108">
        <v>868044912</v>
      </c>
      <c r="I30" s="108">
        <v>1038119559</v>
      </c>
      <c r="J30" s="108">
        <v>1216452059</v>
      </c>
      <c r="K30" s="109">
        <v>1403448017</v>
      </c>
    </row>
    <row r="31" spans="1:11" s="13" customFormat="1" x14ac:dyDescent="0.2">
      <c r="A31" s="53" t="s">
        <v>191</v>
      </c>
      <c r="B31" s="101">
        <f>SUM(B25,B28)</f>
        <v>77290283.700461388</v>
      </c>
      <c r="C31" s="101">
        <f t="shared" ref="C31:K31" si="15">SUM(C25,C28)</f>
        <v>197842526.88430604</v>
      </c>
      <c r="D31" s="101">
        <f t="shared" si="15"/>
        <v>324900580.0681507</v>
      </c>
      <c r="E31" s="101">
        <f t="shared" si="15"/>
        <v>458456141.25199538</v>
      </c>
      <c r="F31" s="101">
        <f t="shared" si="15"/>
        <v>598828348.43583989</v>
      </c>
      <c r="G31" s="101">
        <f t="shared" si="15"/>
        <v>746128547.61968458</v>
      </c>
      <c r="H31" s="101">
        <f t="shared" si="15"/>
        <v>900931467.80352926</v>
      </c>
      <c r="I31" s="101">
        <f t="shared" si="15"/>
        <v>1063605624.9873739</v>
      </c>
      <c r="J31" s="101">
        <f>SUM(J25,J28)</f>
        <v>1234537635.1712186</v>
      </c>
      <c r="K31" s="101">
        <f t="shared" si="15"/>
        <v>1414133103.3550632</v>
      </c>
    </row>
    <row r="32" spans="1:11" x14ac:dyDescent="0.2">
      <c r="A32" s="53"/>
      <c r="C32" s="46"/>
      <c r="G32" s="46"/>
    </row>
    <row r="33" spans="1:12" x14ac:dyDescent="0.2">
      <c r="A33" s="53" t="s">
        <v>192</v>
      </c>
      <c r="B33" s="101">
        <f t="shared" ref="B33:K33" si="16">SUM(B20,B31)</f>
        <v>145969414.94185674</v>
      </c>
      <c r="C33" s="101">
        <f t="shared" si="16"/>
        <v>350081999.24637949</v>
      </c>
      <c r="D33" s="101">
        <f t="shared" si="16"/>
        <v>578541905.25103951</v>
      </c>
      <c r="E33" s="101">
        <f t="shared" si="16"/>
        <v>834449654.15736604</v>
      </c>
      <c r="F33" s="101">
        <f t="shared" si="16"/>
        <v>1121541848.7870588</v>
      </c>
      <c r="G33" s="101">
        <f t="shared" si="16"/>
        <v>1443979427.1097095</v>
      </c>
      <c r="H33" s="101">
        <f t="shared" si="16"/>
        <v>1806780301.0637207</v>
      </c>
      <c r="I33" s="101">
        <f t="shared" si="16"/>
        <v>2215559412.4276471</v>
      </c>
      <c r="J33" s="101">
        <f t="shared" si="16"/>
        <v>2676752316.4864349</v>
      </c>
      <c r="K33" s="101">
        <f t="shared" si="16"/>
        <v>3197737209.9897232</v>
      </c>
      <c r="L33" s="13"/>
    </row>
    <row r="34" spans="1:12" ht="17" thickBot="1" x14ac:dyDescent="0.25"/>
    <row r="35" spans="1:12" ht="17" thickBot="1" x14ac:dyDescent="0.25">
      <c r="A35" s="54" t="s">
        <v>193</v>
      </c>
      <c r="B35" s="124">
        <f t="shared" ref="B35:K35" si="17">B17-B33</f>
        <v>-5.4336279630661011E-2</v>
      </c>
      <c r="C35" s="126">
        <f t="shared" si="17"/>
        <v>-0.37898015975952148</v>
      </c>
      <c r="D35" s="126">
        <f t="shared" si="17"/>
        <v>-0.18154036998748779</v>
      </c>
      <c r="E35" s="126">
        <f t="shared" si="17"/>
        <v>-0.3916923999786377</v>
      </c>
      <c r="F35" s="126">
        <f t="shared" si="17"/>
        <v>-3.9928197860717773E-2</v>
      </c>
      <c r="G35" s="126">
        <f t="shared" si="17"/>
        <v>-0.49236083030700684</v>
      </c>
      <c r="H35" s="126">
        <f t="shared" si="17"/>
        <v>0.16937565803527832</v>
      </c>
      <c r="I35" s="126">
        <f t="shared" si="17"/>
        <v>0.39434480667114258</v>
      </c>
      <c r="J35" s="126">
        <f t="shared" si="17"/>
        <v>-0.10711002349853516</v>
      </c>
      <c r="K35" s="127">
        <f t="shared" si="17"/>
        <v>-0.19890499114990234</v>
      </c>
    </row>
    <row r="38" spans="1:12" x14ac:dyDescent="0.2">
      <c r="A38" s="54" t="s">
        <v>194</v>
      </c>
    </row>
    <row r="39" spans="1:12" x14ac:dyDescent="0.2">
      <c r="A39" s="12" t="s">
        <v>275</v>
      </c>
      <c r="B39" t="s">
        <v>272</v>
      </c>
    </row>
    <row r="40" spans="1:12" x14ac:dyDescent="0.2">
      <c r="B40" t="s">
        <v>270</v>
      </c>
      <c r="C40" s="99">
        <v>10000000</v>
      </c>
    </row>
    <row r="41" spans="1:12" x14ac:dyDescent="0.2">
      <c r="B41" t="s">
        <v>269</v>
      </c>
      <c r="C41" t="s">
        <v>271</v>
      </c>
    </row>
    <row r="43" spans="1:12" x14ac:dyDescent="0.2">
      <c r="B43" t="s">
        <v>269</v>
      </c>
      <c r="C43" s="61">
        <v>2027</v>
      </c>
      <c r="D43" s="61">
        <v>2028</v>
      </c>
      <c r="E43" s="61">
        <v>2029</v>
      </c>
      <c r="F43" s="61">
        <v>2030</v>
      </c>
      <c r="G43" s="61">
        <v>2031</v>
      </c>
      <c r="H43" s="61">
        <v>2032</v>
      </c>
      <c r="I43" s="61">
        <v>2033</v>
      </c>
      <c r="J43" s="61">
        <v>2034</v>
      </c>
      <c r="K43" s="61">
        <v>2035</v>
      </c>
    </row>
    <row r="44" spans="1:12" x14ac:dyDescent="0.2">
      <c r="C44" s="99">
        <f>(C40/10)*9/12</f>
        <v>750000</v>
      </c>
      <c r="D44" s="99">
        <f>$C$40/10</f>
        <v>1000000</v>
      </c>
      <c r="E44" s="99">
        <f t="shared" ref="E44:K44" si="18">$C$40/10</f>
        <v>1000000</v>
      </c>
      <c r="F44" s="99">
        <f t="shared" si="18"/>
        <v>1000000</v>
      </c>
      <c r="G44" s="99">
        <f t="shared" si="18"/>
        <v>1000000</v>
      </c>
      <c r="H44" s="99">
        <f t="shared" si="18"/>
        <v>1000000</v>
      </c>
      <c r="I44" s="99">
        <f t="shared" si="18"/>
        <v>1000000</v>
      </c>
      <c r="J44" s="99">
        <f t="shared" si="18"/>
        <v>1000000</v>
      </c>
      <c r="K44" s="99">
        <f t="shared" si="18"/>
        <v>1000000</v>
      </c>
    </row>
    <row r="46" spans="1:12" x14ac:dyDescent="0.2">
      <c r="A46" s="12" t="s">
        <v>276</v>
      </c>
      <c r="B46" t="s">
        <v>273</v>
      </c>
    </row>
    <row r="47" spans="1:12" x14ac:dyDescent="0.2">
      <c r="B47" t="s">
        <v>274</v>
      </c>
    </row>
    <row r="48" spans="1:12" x14ac:dyDescent="0.2">
      <c r="B48" t="s">
        <v>279</v>
      </c>
    </row>
    <row r="49" spans="1:13" x14ac:dyDescent="0.2">
      <c r="B49" t="s">
        <v>281</v>
      </c>
      <c r="C49" s="46">
        <v>14000</v>
      </c>
    </row>
    <row r="50" spans="1:13" x14ac:dyDescent="0.2">
      <c r="B50" t="s">
        <v>282</v>
      </c>
      <c r="C50" s="46">
        <f>'1. Assumptions'!B171*12</f>
        <v>396280.80000000005</v>
      </c>
    </row>
    <row r="51" spans="1:13" x14ac:dyDescent="0.2">
      <c r="B51" t="s">
        <v>110</v>
      </c>
      <c r="C51" s="46">
        <f>SUM(C49:C50)</f>
        <v>410280.80000000005</v>
      </c>
      <c r="D51" s="125"/>
    </row>
    <row r="53" spans="1:13" x14ac:dyDescent="0.2">
      <c r="B53" t="s">
        <v>283</v>
      </c>
      <c r="C53" s="61">
        <v>2026</v>
      </c>
      <c r="D53" s="61">
        <v>2027</v>
      </c>
      <c r="E53" s="61">
        <v>2028</v>
      </c>
      <c r="F53" s="61">
        <v>2029</v>
      </c>
      <c r="G53" s="61">
        <v>2030</v>
      </c>
      <c r="H53" s="61">
        <v>2031</v>
      </c>
      <c r="I53" s="61">
        <v>2032</v>
      </c>
      <c r="J53" s="61">
        <v>2033</v>
      </c>
      <c r="K53" s="61">
        <v>2034</v>
      </c>
      <c r="L53" s="61">
        <v>2035</v>
      </c>
    </row>
    <row r="54" spans="1:13" x14ac:dyDescent="0.2">
      <c r="C54" s="46">
        <f>C51*33.6519695779086</f>
        <v>13806757.000000006</v>
      </c>
      <c r="D54" s="46">
        <f>C54*1.05</f>
        <v>14497094.850000007</v>
      </c>
      <c r="E54" s="46">
        <f>D54*1.05</f>
        <v>15221949.592500009</v>
      </c>
      <c r="F54" s="46">
        <f>E54*1.05</f>
        <v>15983047.07212501</v>
      </c>
      <c r="G54" s="46">
        <f t="shared" ref="G54:L54" si="19">F54*1.05</f>
        <v>16782199.42573126</v>
      </c>
      <c r="H54" s="46">
        <f t="shared" si="19"/>
        <v>17621309.397017825</v>
      </c>
      <c r="I54" s="46">
        <f t="shared" si="19"/>
        <v>18502374.866868716</v>
      </c>
      <c r="J54" s="46">
        <f>I54*1.05</f>
        <v>19427493.610212151</v>
      </c>
      <c r="K54" s="46">
        <f t="shared" si="19"/>
        <v>20398868.290722758</v>
      </c>
      <c r="L54" s="46">
        <f t="shared" si="19"/>
        <v>21418811.705258895</v>
      </c>
    </row>
    <row r="56" spans="1:13" x14ac:dyDescent="0.2">
      <c r="A56" s="12" t="s">
        <v>277</v>
      </c>
      <c r="B56" t="s">
        <v>278</v>
      </c>
    </row>
    <row r="57" spans="1:13" x14ac:dyDescent="0.2">
      <c r="B57" t="s">
        <v>279</v>
      </c>
      <c r="C57" s="100">
        <v>1117351</v>
      </c>
    </row>
    <row r="58" spans="1:13" x14ac:dyDescent="0.2">
      <c r="B58" t="s">
        <v>269</v>
      </c>
      <c r="C58" t="s">
        <v>280</v>
      </c>
    </row>
    <row r="59" spans="1:13" x14ac:dyDescent="0.2">
      <c r="B59" t="s">
        <v>269</v>
      </c>
      <c r="C59" s="61">
        <v>2026</v>
      </c>
      <c r="D59" s="61">
        <v>2027</v>
      </c>
      <c r="E59" s="61">
        <v>2028</v>
      </c>
      <c r="F59" s="61">
        <v>2029</v>
      </c>
      <c r="G59" s="61">
        <v>2030</v>
      </c>
      <c r="H59" s="61"/>
      <c r="I59" s="61"/>
      <c r="J59" s="61"/>
      <c r="K59" s="61"/>
      <c r="L59" s="61"/>
      <c r="M59" s="61"/>
    </row>
    <row r="60" spans="1:13" x14ac:dyDescent="0.2">
      <c r="C60" s="46">
        <f>$C$57/5</f>
        <v>223470.2</v>
      </c>
      <c r="D60" s="46">
        <f t="shared" ref="D60:G60" si="20">$C$57/5</f>
        <v>223470.2</v>
      </c>
      <c r="E60" s="46">
        <f t="shared" si="20"/>
        <v>223470.2</v>
      </c>
      <c r="F60" s="46">
        <f t="shared" si="20"/>
        <v>223470.2</v>
      </c>
      <c r="G60" s="46">
        <f t="shared" si="20"/>
        <v>223470.2</v>
      </c>
    </row>
    <row r="62" spans="1:13" x14ac:dyDescent="0.2">
      <c r="A62" s="12" t="s">
        <v>285</v>
      </c>
      <c r="B62" t="s">
        <v>286</v>
      </c>
    </row>
    <row r="63" spans="1:13" x14ac:dyDescent="0.2">
      <c r="B63" t="s">
        <v>279</v>
      </c>
      <c r="C63" s="46">
        <v>2500000</v>
      </c>
    </row>
    <row r="64" spans="1:13" x14ac:dyDescent="0.2">
      <c r="B64" t="s">
        <v>269</v>
      </c>
      <c r="C64" t="s">
        <v>271</v>
      </c>
    </row>
    <row r="65" spans="1:14" x14ac:dyDescent="0.2">
      <c r="C65" s="61">
        <v>2027</v>
      </c>
      <c r="D65" s="61">
        <v>2028</v>
      </c>
      <c r="E65" s="61">
        <v>2029</v>
      </c>
      <c r="F65" s="61">
        <v>2030</v>
      </c>
      <c r="G65" s="61">
        <v>2031</v>
      </c>
      <c r="H65" s="61">
        <v>2032</v>
      </c>
      <c r="I65" s="61">
        <v>2033</v>
      </c>
      <c r="J65" s="61">
        <v>2034</v>
      </c>
      <c r="K65" s="61">
        <v>2035</v>
      </c>
    </row>
    <row r="66" spans="1:14" x14ac:dyDescent="0.2">
      <c r="C66" s="46">
        <f>(C63/10)*9/12</f>
        <v>187500</v>
      </c>
      <c r="D66" s="46">
        <f>$C$63/10</f>
        <v>250000</v>
      </c>
      <c r="E66" s="46">
        <f t="shared" ref="E66:K66" si="21">$C$63/10</f>
        <v>250000</v>
      </c>
      <c r="F66" s="46">
        <f t="shared" si="21"/>
        <v>250000</v>
      </c>
      <c r="G66" s="46">
        <f t="shared" si="21"/>
        <v>250000</v>
      </c>
      <c r="H66" s="46">
        <f t="shared" si="21"/>
        <v>250000</v>
      </c>
      <c r="I66" s="46">
        <f t="shared" si="21"/>
        <v>250000</v>
      </c>
      <c r="J66" s="46">
        <f t="shared" si="21"/>
        <v>250000</v>
      </c>
      <c r="K66" s="46">
        <f t="shared" si="21"/>
        <v>250000</v>
      </c>
    </row>
    <row r="68" spans="1:14" x14ac:dyDescent="0.2">
      <c r="A68" s="12" t="s">
        <v>288</v>
      </c>
      <c r="B68" t="s">
        <v>187</v>
      </c>
    </row>
    <row r="69" spans="1:14" x14ac:dyDescent="0.2">
      <c r="B69" t="s">
        <v>289</v>
      </c>
      <c r="C69" s="46">
        <v>70537251.829027981</v>
      </c>
    </row>
    <row r="70" spans="1:14" x14ac:dyDescent="0.2">
      <c r="B70" t="s">
        <v>298</v>
      </c>
      <c r="C70" s="75">
        <v>0.105</v>
      </c>
    </row>
    <row r="71" spans="1:14" x14ac:dyDescent="0.2">
      <c r="B71" t="s">
        <v>297</v>
      </c>
      <c r="C71" s="105">
        <v>10</v>
      </c>
    </row>
    <row r="72" spans="1:14" x14ac:dyDescent="0.2">
      <c r="B72" t="s">
        <v>296</v>
      </c>
      <c r="C72" s="103">
        <v>12</v>
      </c>
      <c r="F72" s="46"/>
    </row>
    <row r="73" spans="1:14" x14ac:dyDescent="0.2">
      <c r="B73" t="s">
        <v>295</v>
      </c>
      <c r="C73" s="104">
        <f>((1+(C70/C72))^C72)-1</f>
        <v>0.11020345045182389</v>
      </c>
    </row>
    <row r="74" spans="1:14" x14ac:dyDescent="0.2">
      <c r="B74" t="s">
        <v>291</v>
      </c>
      <c r="C74" s="46">
        <f>PMT(C73/12,(C71*C72),-C69,C77)</f>
        <v>616707.48467961268</v>
      </c>
      <c r="E74" s="46"/>
    </row>
    <row r="75" spans="1:14" x14ac:dyDescent="0.2">
      <c r="B75" t="s">
        <v>290</v>
      </c>
      <c r="C75" s="46">
        <f>SUM(C74,-C76)</f>
        <v>28897.052771046176</v>
      </c>
    </row>
    <row r="76" spans="1:14" x14ac:dyDescent="0.2">
      <c r="B76" t="s">
        <v>292</v>
      </c>
      <c r="C76" s="46">
        <f>C69/120</f>
        <v>587810.4319085665</v>
      </c>
    </row>
    <row r="77" spans="1:14" x14ac:dyDescent="0.2">
      <c r="B77" t="s">
        <v>293</v>
      </c>
      <c r="C77" s="102">
        <f>-FV(C73/12,C71,0,C69)</f>
        <v>77289494.700461403</v>
      </c>
    </row>
    <row r="79" spans="1:14" x14ac:dyDescent="0.2">
      <c r="B79" t="s">
        <v>294</v>
      </c>
      <c r="C79" s="61" t="s">
        <v>54</v>
      </c>
      <c r="D79" s="61" t="s">
        <v>55</v>
      </c>
      <c r="E79" s="61" t="s">
        <v>44</v>
      </c>
      <c r="F79" s="61" t="s">
        <v>45</v>
      </c>
      <c r="G79" s="61" t="s">
        <v>46</v>
      </c>
      <c r="H79" s="61" t="s">
        <v>47</v>
      </c>
      <c r="I79" s="61" t="s">
        <v>48</v>
      </c>
      <c r="J79" s="61" t="s">
        <v>49</v>
      </c>
      <c r="K79" s="61" t="s">
        <v>50</v>
      </c>
      <c r="L79" s="61" t="s">
        <v>51</v>
      </c>
      <c r="M79" s="61" t="s">
        <v>52</v>
      </c>
      <c r="N79" s="61" t="s">
        <v>53</v>
      </c>
    </row>
    <row r="80" spans="1:14" x14ac:dyDescent="0.2">
      <c r="C80" s="102">
        <f>C77-C76</f>
        <v>76701684.26855284</v>
      </c>
      <c r="D80" s="102">
        <f>C80-$C$76</f>
        <v>76113873.836644277</v>
      </c>
      <c r="E80" s="102">
        <f>D80-$C$76</f>
        <v>75526063.404735714</v>
      </c>
      <c r="F80" s="102">
        <f>E80-$C$76</f>
        <v>74938252.972827151</v>
      </c>
      <c r="G80" s="102">
        <f t="shared" ref="G80:H80" si="22">F80-$C$76</f>
        <v>74350442.540918589</v>
      </c>
      <c r="H80" s="102">
        <f t="shared" si="22"/>
        <v>73762632.109010026</v>
      </c>
      <c r="I80" s="102">
        <f>SUM(H80-$C$74)</f>
        <v>73145924.624330416</v>
      </c>
      <c r="J80" s="102">
        <f t="shared" ref="J80:N80" si="23">SUM(I80-$C$74)</f>
        <v>72529217.139650807</v>
      </c>
      <c r="K80" s="102">
        <f t="shared" si="23"/>
        <v>71912509.654971197</v>
      </c>
      <c r="L80" s="102">
        <f t="shared" si="23"/>
        <v>71295802.170291588</v>
      </c>
      <c r="M80" s="102">
        <f t="shared" si="23"/>
        <v>70679094.685611978</v>
      </c>
      <c r="N80" s="102">
        <f t="shared" si="23"/>
        <v>70062387.200932369</v>
      </c>
    </row>
    <row r="82" spans="1:11" x14ac:dyDescent="0.2">
      <c r="A82" s="13" t="s">
        <v>268</v>
      </c>
    </row>
    <row r="84" spans="1:11" ht="17" thickBot="1" x14ac:dyDescent="0.25"/>
    <row r="85" spans="1:11" ht="17" thickBot="1" x14ac:dyDescent="0.25">
      <c r="A85" s="55" t="s">
        <v>195</v>
      </c>
      <c r="B85" s="145" t="s">
        <v>220</v>
      </c>
      <c r="C85" s="146"/>
      <c r="D85" s="146"/>
      <c r="E85" s="146"/>
      <c r="F85" s="146"/>
      <c r="G85" s="146"/>
      <c r="H85" s="146"/>
      <c r="I85" s="146"/>
      <c r="J85" s="146"/>
      <c r="K85" s="147"/>
    </row>
    <row r="86" spans="1:11" x14ac:dyDescent="0.2">
      <c r="A86" s="56"/>
      <c r="B86" s="58">
        <v>2026</v>
      </c>
      <c r="C86" s="58">
        <v>2027</v>
      </c>
      <c r="D86" s="58">
        <v>2028</v>
      </c>
      <c r="E86" s="58">
        <v>2029</v>
      </c>
      <c r="F86" s="58">
        <v>2030</v>
      </c>
      <c r="G86" s="58">
        <v>2031</v>
      </c>
      <c r="H86" s="58">
        <v>2032</v>
      </c>
      <c r="I86" s="58">
        <v>2033</v>
      </c>
      <c r="J86" s="58">
        <v>2034</v>
      </c>
      <c r="K86" s="58">
        <v>2035</v>
      </c>
    </row>
    <row r="87" spans="1:11" x14ac:dyDescent="0.2">
      <c r="A87" s="57" t="s">
        <v>173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</row>
    <row r="88" spans="1:11" x14ac:dyDescent="0.2">
      <c r="A88" s="57" t="s">
        <v>174</v>
      </c>
      <c r="B88" s="101">
        <f>SUM(B89:B92)</f>
        <v>8414056.1336282659</v>
      </c>
      <c r="C88" s="101">
        <f t="shared" ref="C88:K88" si="24">SUM(C89:C92)</f>
        <v>29744424.733628485</v>
      </c>
      <c r="D88" s="101">
        <f t="shared" si="24"/>
        <v>38893411.080140769</v>
      </c>
      <c r="E88" s="101">
        <f t="shared" si="24"/>
        <v>48134143.360062517</v>
      </c>
      <c r="F88" s="101">
        <f t="shared" si="24"/>
        <v>57597993.065612935</v>
      </c>
      <c r="G88" s="101">
        <f t="shared" si="24"/>
        <v>67270539.508849055</v>
      </c>
      <c r="H88" s="101">
        <f t="shared" si="24"/>
        <v>77365036.165361941</v>
      </c>
      <c r="I88" s="101">
        <f t="shared" si="24"/>
        <v>87923052.812041208</v>
      </c>
      <c r="J88" s="101">
        <f t="shared" si="24"/>
        <v>98981071.103035673</v>
      </c>
      <c r="K88" s="101">
        <f t="shared" si="24"/>
        <v>110572739.83383952</v>
      </c>
    </row>
    <row r="89" spans="1:11" x14ac:dyDescent="0.2">
      <c r="A89" s="56" t="s">
        <v>175</v>
      </c>
      <c r="B89" s="106">
        <v>0</v>
      </c>
      <c r="C89" s="111">
        <f>C120-C124</f>
        <v>9250000</v>
      </c>
      <c r="D89" s="111">
        <f t="shared" ref="D89:K89" si="25">C89-D124</f>
        <v>8250000</v>
      </c>
      <c r="E89" s="111">
        <f t="shared" si="25"/>
        <v>7250000</v>
      </c>
      <c r="F89" s="111">
        <f t="shared" si="25"/>
        <v>6250000</v>
      </c>
      <c r="G89" s="111">
        <f t="shared" si="25"/>
        <v>5250000</v>
      </c>
      <c r="H89" s="111">
        <f t="shared" si="25"/>
        <v>4250000</v>
      </c>
      <c r="I89" s="111">
        <f t="shared" si="25"/>
        <v>3250000</v>
      </c>
      <c r="J89" s="111">
        <f t="shared" si="25"/>
        <v>2250000</v>
      </c>
      <c r="K89" s="112">
        <f t="shared" si="25"/>
        <v>1250000</v>
      </c>
    </row>
    <row r="90" spans="1:11" x14ac:dyDescent="0.2">
      <c r="A90" s="56" t="s">
        <v>287</v>
      </c>
      <c r="B90" s="113">
        <f>C131+C134</f>
        <v>7982113.7336282656</v>
      </c>
      <c r="C90" s="46">
        <f t="shared" ref="C90:K90" si="26">B90+D134</f>
        <v>17857967.933628485</v>
      </c>
      <c r="D90" s="46">
        <f t="shared" si="26"/>
        <v>28364939.880140767</v>
      </c>
      <c r="E90" s="46">
        <f t="shared" si="26"/>
        <v>38963657.760062516</v>
      </c>
      <c r="F90" s="46">
        <f t="shared" si="26"/>
        <v>49785493.065612935</v>
      </c>
      <c r="G90" s="46">
        <f t="shared" si="26"/>
        <v>60708039.508849047</v>
      </c>
      <c r="H90" s="46">
        <f t="shared" si="26"/>
        <v>72052536.165361941</v>
      </c>
      <c r="I90" s="46">
        <f t="shared" si="26"/>
        <v>83860552.812041208</v>
      </c>
      <c r="J90" s="46">
        <f t="shared" si="26"/>
        <v>96168571.103035673</v>
      </c>
      <c r="K90" s="114">
        <f t="shared" si="26"/>
        <v>109010239.83383952</v>
      </c>
    </row>
    <row r="91" spans="1:11" x14ac:dyDescent="0.2">
      <c r="A91" s="56" t="s">
        <v>176</v>
      </c>
      <c r="B91" s="113">
        <f>C137-C140</f>
        <v>431942.40000000002</v>
      </c>
      <c r="C91" s="46">
        <f>B91-D140</f>
        <v>323956.80000000005</v>
      </c>
      <c r="D91" s="46">
        <f>C91-E140</f>
        <v>215971.20000000004</v>
      </c>
      <c r="E91" s="46">
        <f>D91-F140</f>
        <v>107985.60000000003</v>
      </c>
      <c r="F91" s="46">
        <f>E91-G140</f>
        <v>0</v>
      </c>
      <c r="G91" s="46">
        <v>0</v>
      </c>
      <c r="H91" s="46">
        <v>0</v>
      </c>
      <c r="I91" s="46">
        <v>0</v>
      </c>
      <c r="J91" s="46">
        <v>0</v>
      </c>
      <c r="K91" s="114">
        <f>J91</f>
        <v>0</v>
      </c>
    </row>
    <row r="92" spans="1:11" x14ac:dyDescent="0.2">
      <c r="A92" s="56" t="s">
        <v>177</v>
      </c>
      <c r="B92" s="110">
        <v>0</v>
      </c>
      <c r="C92" s="115">
        <f>C143-C146</f>
        <v>2312500</v>
      </c>
      <c r="D92" s="115">
        <f t="shared" ref="D92:K92" si="27">C92-D146</f>
        <v>2062500</v>
      </c>
      <c r="E92" s="115">
        <f t="shared" si="27"/>
        <v>1812500</v>
      </c>
      <c r="F92" s="115">
        <f t="shared" si="27"/>
        <v>1562500</v>
      </c>
      <c r="G92" s="115">
        <f t="shared" si="27"/>
        <v>1312500</v>
      </c>
      <c r="H92" s="115">
        <f t="shared" si="27"/>
        <v>1062500</v>
      </c>
      <c r="I92" s="115">
        <f t="shared" si="27"/>
        <v>812500</v>
      </c>
      <c r="J92" s="115">
        <f t="shared" si="27"/>
        <v>562500</v>
      </c>
      <c r="K92" s="116">
        <f t="shared" si="27"/>
        <v>312500</v>
      </c>
    </row>
    <row r="93" spans="1:11" x14ac:dyDescent="0.2">
      <c r="A93" s="56"/>
      <c r="B93" s="46"/>
      <c r="C93" s="46"/>
      <c r="D93" s="46"/>
      <c r="E93" s="46"/>
      <c r="F93" s="46"/>
      <c r="G93" s="46"/>
      <c r="H93" s="46"/>
      <c r="I93" s="46"/>
      <c r="J93" s="46"/>
      <c r="K93" s="46"/>
    </row>
    <row r="94" spans="1:11" x14ac:dyDescent="0.2">
      <c r="A94" s="57" t="s">
        <v>178</v>
      </c>
      <c r="B94" s="101">
        <f>B95</f>
        <v>46751116.199943662</v>
      </c>
      <c r="C94" s="101">
        <f t="shared" ref="C94:K94" si="28">C95</f>
        <v>45601455.827585384</v>
      </c>
      <c r="D94" s="101">
        <f t="shared" si="28"/>
        <v>59178063.377995186</v>
      </c>
      <c r="E94" s="101">
        <f t="shared" si="28"/>
        <v>75503730.602088302</v>
      </c>
      <c r="F94" s="101">
        <f t="shared" si="28"/>
        <v>94990816.450917214</v>
      </c>
      <c r="G94" s="101">
        <f t="shared" si="28"/>
        <v>118170280.15099229</v>
      </c>
      <c r="H94" s="101">
        <f t="shared" si="28"/>
        <v>145530719.98228046</v>
      </c>
      <c r="I94" s="101">
        <f t="shared" si="28"/>
        <v>177699282.36446372</v>
      </c>
      <c r="J94" s="101">
        <f t="shared" si="28"/>
        <v>215397185.68017626</v>
      </c>
      <c r="K94" s="101">
        <f t="shared" si="28"/>
        <v>259453831.06944749</v>
      </c>
    </row>
    <row r="95" spans="1:11" x14ac:dyDescent="0.2">
      <c r="A95" s="56" t="s">
        <v>179</v>
      </c>
      <c r="B95" s="118">
        <f>'Projected CFS'!B67</f>
        <v>46751116.199943662</v>
      </c>
      <c r="C95" s="119">
        <f>'Projected CFS'!C67</f>
        <v>45601455.827585384</v>
      </c>
      <c r="D95" s="119">
        <f>'Projected CFS'!D67</f>
        <v>59178063.377995186</v>
      </c>
      <c r="E95" s="119">
        <f>'Projected CFS'!E67</f>
        <v>75503730.602088302</v>
      </c>
      <c r="F95" s="119">
        <f>'Projected CFS'!F67</f>
        <v>94990816.450917214</v>
      </c>
      <c r="G95" s="119">
        <f>'Projected CFS'!G67</f>
        <v>118170280.15099229</v>
      </c>
      <c r="H95" s="119">
        <f>'Projected CFS'!H67</f>
        <v>145530719.98228046</v>
      </c>
      <c r="I95" s="119">
        <f>'Projected CFS'!I67</f>
        <v>177699282.36446372</v>
      </c>
      <c r="J95" s="119">
        <f>'Projected CFS'!J67</f>
        <v>215397185.68017626</v>
      </c>
      <c r="K95" s="120">
        <f>'Projected CFS'!K67</f>
        <v>259453831.06944749</v>
      </c>
    </row>
    <row r="96" spans="1:11" x14ac:dyDescent="0.2">
      <c r="A96" s="56"/>
      <c r="B96" s="46"/>
      <c r="C96" s="46"/>
      <c r="D96" s="46"/>
      <c r="E96" s="46"/>
      <c r="F96" s="46"/>
      <c r="G96" s="46"/>
      <c r="H96" s="46"/>
      <c r="I96" s="46"/>
      <c r="J96" s="46"/>
      <c r="K96" s="46"/>
    </row>
    <row r="97" spans="1:11" x14ac:dyDescent="0.2">
      <c r="A97" s="57" t="s">
        <v>180</v>
      </c>
      <c r="B97" s="101">
        <f>SUM(B88,B94)</f>
        <v>55165172.333571926</v>
      </c>
      <c r="C97" s="101">
        <f t="shared" ref="C97:K97" si="29">SUM(C88,C94)</f>
        <v>75345880.561213866</v>
      </c>
      <c r="D97" s="101">
        <f t="shared" si="29"/>
        <v>98071474.458135962</v>
      </c>
      <c r="E97" s="101">
        <f t="shared" si="29"/>
        <v>123637873.96215081</v>
      </c>
      <c r="F97" s="101">
        <f t="shared" si="29"/>
        <v>152588809.51653016</v>
      </c>
      <c r="G97" s="101">
        <f t="shared" si="29"/>
        <v>185440819.65984136</v>
      </c>
      <c r="H97" s="101">
        <f t="shared" si="29"/>
        <v>222895756.1476424</v>
      </c>
      <c r="I97" s="101">
        <f>SUM(I88,I94)</f>
        <v>265622335.17650491</v>
      </c>
      <c r="J97" s="101">
        <f t="shared" si="29"/>
        <v>314378256.78321195</v>
      </c>
      <c r="K97" s="101">
        <f t="shared" si="29"/>
        <v>370026570.90328699</v>
      </c>
    </row>
    <row r="98" spans="1:11" x14ac:dyDescent="0.2">
      <c r="A98" s="56"/>
      <c r="B98" s="46"/>
      <c r="C98" s="46"/>
      <c r="D98" s="46"/>
      <c r="E98" s="46"/>
      <c r="F98" s="46"/>
      <c r="G98" s="46"/>
      <c r="H98" s="46"/>
      <c r="I98" s="46"/>
      <c r="J98" s="46"/>
      <c r="K98" s="46"/>
    </row>
    <row r="99" spans="1:11" x14ac:dyDescent="0.2">
      <c r="A99" s="57" t="s">
        <v>181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</row>
    <row r="100" spans="1:11" x14ac:dyDescent="0.2">
      <c r="A100" s="57" t="s">
        <v>182</v>
      </c>
      <c r="B100" s="101">
        <f t="shared" ref="B100:K100" si="30">SUM(B101:B104)</f>
        <v>13921331.523864049</v>
      </c>
      <c r="C100" s="101">
        <f t="shared" si="30"/>
        <v>30266190.861004695</v>
      </c>
      <c r="D100" s="101">
        <f t="shared" si="30"/>
        <v>38591651.319561779</v>
      </c>
      <c r="E100" s="101">
        <f t="shared" si="30"/>
        <v>46752260.291307211</v>
      </c>
      <c r="F100" s="101">
        <f t="shared" si="30"/>
        <v>55218074.747677527</v>
      </c>
      <c r="G100" s="101">
        <f t="shared" si="30"/>
        <v>64305246.3955644</v>
      </c>
      <c r="H100" s="101">
        <f t="shared" si="30"/>
        <v>74392884.097903952</v>
      </c>
      <c r="I100" s="101">
        <f t="shared" si="30"/>
        <v>85757971.15531975</v>
      </c>
      <c r="J100" s="101">
        <f t="shared" si="30"/>
        <v>98674618.676169306</v>
      </c>
      <c r="K100" s="101">
        <f t="shared" si="30"/>
        <v>113429181.63828021</v>
      </c>
    </row>
    <row r="101" spans="1:11" x14ac:dyDescent="0.2">
      <c r="A101" s="56" t="s">
        <v>183</v>
      </c>
      <c r="B101" s="106">
        <v>100000</v>
      </c>
      <c r="C101" s="111">
        <v>100000</v>
      </c>
      <c r="D101" s="111">
        <v>100000</v>
      </c>
      <c r="E101" s="111">
        <v>100000</v>
      </c>
      <c r="F101" s="111">
        <v>100000</v>
      </c>
      <c r="G101" s="111">
        <v>100000</v>
      </c>
      <c r="H101" s="111">
        <v>100000</v>
      </c>
      <c r="I101" s="111">
        <v>100000</v>
      </c>
      <c r="J101" s="111">
        <v>100000</v>
      </c>
      <c r="K101" s="112">
        <v>100000</v>
      </c>
    </row>
    <row r="102" spans="1:11" x14ac:dyDescent="0.2">
      <c r="A102" s="56" t="s">
        <v>184</v>
      </c>
      <c r="B102" s="113">
        <v>0</v>
      </c>
      <c r="C102" s="46">
        <f>B104*65%</f>
        <v>13821331.523864049</v>
      </c>
      <c r="D102" s="46">
        <f>(SUM(C102:C104))*65%</f>
        <v>19608024.059653051</v>
      </c>
      <c r="E102" s="46">
        <f>(SUM(D102:D104))*65%</f>
        <v>25019573.357715156</v>
      </c>
      <c r="F102" s="46">
        <f t="shared" ref="F102:J102" si="31">(SUM(E102:E104))*65%</f>
        <v>30323969.189349689</v>
      </c>
      <c r="G102" s="46">
        <f t="shared" si="31"/>
        <v>35826748.585990392</v>
      </c>
      <c r="H102" s="46">
        <f t="shared" si="31"/>
        <v>41733410.15711686</v>
      </c>
      <c r="I102" s="46">
        <f t="shared" si="31"/>
        <v>48290374.663637571</v>
      </c>
      <c r="J102" s="46">
        <f t="shared" si="31"/>
        <v>55677681.250957839</v>
      </c>
      <c r="K102" s="114">
        <f>(SUM(J102:J104))*65%</f>
        <v>64073502.13951005</v>
      </c>
    </row>
    <row r="103" spans="1:11" x14ac:dyDescent="0.2">
      <c r="A103" s="56" t="s">
        <v>207</v>
      </c>
      <c r="B103" s="113">
        <f>-B104*35%</f>
        <v>-7442255.435926795</v>
      </c>
      <c r="C103" s="46">
        <f t="shared" ref="C103:J103" si="32">-C104*35%</f>
        <v>-8801078.1046141945</v>
      </c>
      <c r="D103" s="46">
        <f t="shared" si="32"/>
        <v>-10168106.986104701</v>
      </c>
      <c r="E103" s="113">
        <f t="shared" si="32"/>
        <v>-11648369.887318796</v>
      </c>
      <c r="F103" s="113">
        <f t="shared" si="32"/>
        <v>-13350672.223714991</v>
      </c>
      <c r="G103" s="113">
        <f t="shared" si="32"/>
        <v>-15280729.589770617</v>
      </c>
      <c r="H103" s="113">
        <f t="shared" si="32"/>
        <v>-17532024.429654587</v>
      </c>
      <c r="I103" s="113">
        <f t="shared" si="32"/>
        <v>-20121013.495521173</v>
      </c>
      <c r="J103" s="113">
        <f t="shared" si="32"/>
        <v>-23098350.921267711</v>
      </c>
      <c r="K103" s="114">
        <f>-K104*35%</f>
        <v>-26522288.960876241</v>
      </c>
    </row>
    <row r="104" spans="1:11" x14ac:dyDescent="0.2">
      <c r="A104" s="56" t="s">
        <v>185</v>
      </c>
      <c r="B104" s="110">
        <f>'SOPL (Worst Case Scenario)'!B33</f>
        <v>21263586.959790844</v>
      </c>
      <c r="C104" s="115">
        <f>'SOPL (Worst Case Scenario)'!C33</f>
        <v>25145937.44175484</v>
      </c>
      <c r="D104" s="115">
        <f>'SOPL (Worst Case Scenario)'!D33</f>
        <v>29051734.246013433</v>
      </c>
      <c r="E104" s="115">
        <f>'SOPL (Worst Case Scenario)'!E33</f>
        <v>33281056.820910849</v>
      </c>
      <c r="F104" s="115">
        <f>'SOPL (Worst Case Scenario)'!F33</f>
        <v>38144777.782042831</v>
      </c>
      <c r="G104" s="115">
        <f>'SOPL (Worst Case Scenario)'!G33</f>
        <v>43659227.399344623</v>
      </c>
      <c r="H104" s="115">
        <f>'SOPL (Worst Case Scenario)'!H33</f>
        <v>50091498.370441683</v>
      </c>
      <c r="I104" s="115">
        <f>'SOPL (Worst Case Scenario)'!I33</f>
        <v>57488609.98720336</v>
      </c>
      <c r="J104" s="115">
        <f>'SOPL (Worst Case Scenario)'!J33</f>
        <v>65995288.346479177</v>
      </c>
      <c r="K104" s="116">
        <f>'SOPL (Worst Case Scenario)'!K33</f>
        <v>75777968.459646404</v>
      </c>
    </row>
    <row r="105" spans="1:11" x14ac:dyDescent="0.2">
      <c r="A105" s="57" t="s">
        <v>186</v>
      </c>
      <c r="B105" s="101">
        <f>SUM(B106:B107)</f>
        <v>37294026.61490915</v>
      </c>
      <c r="C105" s="101">
        <f t="shared" ref="C105:K105" si="33">SUM(C106:C107)</f>
        <v>33344992.50541022</v>
      </c>
      <c r="D105" s="101">
        <f t="shared" si="33"/>
        <v>29395958.395911291</v>
      </c>
      <c r="E105" s="101">
        <f t="shared" si="33"/>
        <v>25446924.286412362</v>
      </c>
      <c r="F105" s="101">
        <f t="shared" si="33"/>
        <v>21497890.176913433</v>
      </c>
      <c r="G105" s="101">
        <f t="shared" si="33"/>
        <v>17548856.067414504</v>
      </c>
      <c r="H105" s="101">
        <f t="shared" si="33"/>
        <v>13599821.957915576</v>
      </c>
      <c r="I105" s="101">
        <f t="shared" si="33"/>
        <v>9650787.8484166488</v>
      </c>
      <c r="J105" s="101">
        <f t="shared" si="33"/>
        <v>5701753.7389177214</v>
      </c>
      <c r="K105" s="101">
        <f t="shared" si="33"/>
        <v>1752719.6294187936</v>
      </c>
    </row>
    <row r="106" spans="1:11" x14ac:dyDescent="0.2">
      <c r="A106" s="56" t="s">
        <v>187</v>
      </c>
      <c r="B106" s="106">
        <f>C157</f>
        <v>41243060.724408075</v>
      </c>
      <c r="C106" s="111">
        <f>B105</f>
        <v>37294026.61490915</v>
      </c>
      <c r="D106" s="111">
        <f t="shared" ref="D106:J106" si="34">C105</f>
        <v>33344992.50541022</v>
      </c>
      <c r="E106" s="111">
        <f t="shared" si="34"/>
        <v>29395958.395911291</v>
      </c>
      <c r="F106" s="111">
        <f t="shared" si="34"/>
        <v>25446924.286412362</v>
      </c>
      <c r="G106" s="111">
        <f t="shared" si="34"/>
        <v>21497890.176913433</v>
      </c>
      <c r="H106" s="111">
        <f t="shared" si="34"/>
        <v>17548856.067414504</v>
      </c>
      <c r="I106" s="111">
        <f t="shared" si="34"/>
        <v>13599821.957915576</v>
      </c>
      <c r="J106" s="111">
        <f t="shared" si="34"/>
        <v>9650787.8484166488</v>
      </c>
      <c r="K106" s="112">
        <f>J105</f>
        <v>5701753.7389177214</v>
      </c>
    </row>
    <row r="107" spans="1:11" x14ac:dyDescent="0.2">
      <c r="A107" s="56" t="s">
        <v>188</v>
      </c>
      <c r="B107" s="110">
        <f>-$C$154*12</f>
        <v>-3949034.1094989278</v>
      </c>
      <c r="C107" s="115">
        <f t="shared" ref="C107:J107" si="35">-$C$154*12</f>
        <v>-3949034.1094989278</v>
      </c>
      <c r="D107" s="115">
        <f t="shared" si="35"/>
        <v>-3949034.1094989278</v>
      </c>
      <c r="E107" s="115">
        <f t="shared" si="35"/>
        <v>-3949034.1094989278</v>
      </c>
      <c r="F107" s="115">
        <f t="shared" si="35"/>
        <v>-3949034.1094989278</v>
      </c>
      <c r="G107" s="115">
        <f t="shared" si="35"/>
        <v>-3949034.1094989278</v>
      </c>
      <c r="H107" s="115">
        <f t="shared" si="35"/>
        <v>-3949034.1094989278</v>
      </c>
      <c r="I107" s="115">
        <f t="shared" si="35"/>
        <v>-3949034.1094989278</v>
      </c>
      <c r="J107" s="115">
        <f t="shared" si="35"/>
        <v>-3949034.1094989278</v>
      </c>
      <c r="K107" s="116">
        <f>-$C$154*12</f>
        <v>-3949034.1094989278</v>
      </c>
    </row>
    <row r="108" spans="1:11" x14ac:dyDescent="0.2">
      <c r="A108" s="57" t="s">
        <v>189</v>
      </c>
      <c r="B108" s="101">
        <f>SUM(B109:B110)</f>
        <v>3949814.1094989278</v>
      </c>
      <c r="C108" s="101">
        <f t="shared" ref="C108:J108" si="36">SUM(C109:C110)</f>
        <v>11734697.109498927</v>
      </c>
      <c r="D108" s="101">
        <f t="shared" si="36"/>
        <v>30083865.109498929</v>
      </c>
      <c r="E108" s="101">
        <f t="shared" si="36"/>
        <v>51438689.109498926</v>
      </c>
      <c r="F108" s="101">
        <f t="shared" si="36"/>
        <v>75872844.109498933</v>
      </c>
      <c r="G108" s="101">
        <f t="shared" si="36"/>
        <v>103586717.10949893</v>
      </c>
      <c r="H108" s="101">
        <f t="shared" si="36"/>
        <v>134903050.10949892</v>
      </c>
      <c r="I108" s="101">
        <f t="shared" si="36"/>
        <v>170213576.10949892</v>
      </c>
      <c r="J108" s="101">
        <f t="shared" si="36"/>
        <v>210001884.10949892</v>
      </c>
      <c r="K108" s="101">
        <f>SUM(K109:K110)</f>
        <v>254844670.10949892</v>
      </c>
    </row>
    <row r="109" spans="1:11" x14ac:dyDescent="0.2">
      <c r="A109" s="56" t="s">
        <v>188</v>
      </c>
      <c r="B109" s="106">
        <f>-B107</f>
        <v>3949034.1094989278</v>
      </c>
      <c r="C109" s="111">
        <f t="shared" ref="C109:J109" si="37">-C107</f>
        <v>3949034.1094989278</v>
      </c>
      <c r="D109" s="111">
        <f t="shared" si="37"/>
        <v>3949034.1094989278</v>
      </c>
      <c r="E109" s="106">
        <f t="shared" si="37"/>
        <v>3949034.1094989278</v>
      </c>
      <c r="F109" s="106">
        <f t="shared" si="37"/>
        <v>3949034.1094989278</v>
      </c>
      <c r="G109" s="106">
        <f t="shared" si="37"/>
        <v>3949034.1094989278</v>
      </c>
      <c r="H109" s="106">
        <f t="shared" si="37"/>
        <v>3949034.1094989278</v>
      </c>
      <c r="I109" s="106">
        <f t="shared" si="37"/>
        <v>3949034.1094989278</v>
      </c>
      <c r="J109" s="106">
        <f t="shared" si="37"/>
        <v>3949034.1094989278</v>
      </c>
      <c r="K109" s="117">
        <f>-K107</f>
        <v>3949034.1094989278</v>
      </c>
    </row>
    <row r="110" spans="1:11" x14ac:dyDescent="0.2">
      <c r="A110" s="56" t="s">
        <v>190</v>
      </c>
      <c r="B110" s="110">
        <v>780</v>
      </c>
      <c r="C110" s="115">
        <v>7785663</v>
      </c>
      <c r="D110" s="115">
        <v>26134831</v>
      </c>
      <c r="E110" s="115">
        <v>47489655</v>
      </c>
      <c r="F110" s="115">
        <v>71923810</v>
      </c>
      <c r="G110" s="115">
        <v>99637683</v>
      </c>
      <c r="H110" s="115">
        <v>130954016</v>
      </c>
      <c r="I110" s="115">
        <v>166264542</v>
      </c>
      <c r="J110" s="115">
        <v>206052850</v>
      </c>
      <c r="K110" s="116">
        <v>250895636</v>
      </c>
    </row>
    <row r="111" spans="1:11" s="13" customFormat="1" x14ac:dyDescent="0.2">
      <c r="A111" s="57" t="s">
        <v>191</v>
      </c>
      <c r="B111" s="101">
        <f>SUM(B105,B108)</f>
        <v>41243840.724408075</v>
      </c>
      <c r="C111" s="101">
        <f t="shared" ref="C111:K111" si="38">SUM(C105,C108)</f>
        <v>45079689.61490915</v>
      </c>
      <c r="D111" s="101">
        <f t="shared" si="38"/>
        <v>59479823.505410224</v>
      </c>
      <c r="E111" s="101">
        <f t="shared" si="38"/>
        <v>76885613.395911291</v>
      </c>
      <c r="F111" s="101">
        <f t="shared" si="38"/>
        <v>97370734.286412358</v>
      </c>
      <c r="G111" s="101">
        <f t="shared" si="38"/>
        <v>121135573.17691344</v>
      </c>
      <c r="H111" s="101">
        <f t="shared" si="38"/>
        <v>148502872.06741449</v>
      </c>
      <c r="I111" s="101">
        <f t="shared" si="38"/>
        <v>179864363.95791557</v>
      </c>
      <c r="J111" s="101">
        <f t="shared" si="38"/>
        <v>215703637.84841663</v>
      </c>
      <c r="K111" s="101">
        <f t="shared" si="38"/>
        <v>256597389.73891771</v>
      </c>
    </row>
    <row r="112" spans="1:11" x14ac:dyDescent="0.2">
      <c r="A112" s="57"/>
      <c r="B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11" x14ac:dyDescent="0.2">
      <c r="A113" s="57" t="s">
        <v>192</v>
      </c>
      <c r="B113" s="101">
        <f t="shared" ref="B113:K113" si="39">SUM(B111,B100)</f>
        <v>55165172.248272121</v>
      </c>
      <c r="C113" s="101">
        <f t="shared" si="39"/>
        <v>75345880.475913852</v>
      </c>
      <c r="D113" s="101">
        <f t="shared" si="39"/>
        <v>98071474.824972004</v>
      </c>
      <c r="E113" s="101">
        <f t="shared" si="39"/>
        <v>123637873.6872185</v>
      </c>
      <c r="F113" s="101">
        <f t="shared" si="39"/>
        <v>152588809.03408989</v>
      </c>
      <c r="G113" s="101">
        <f t="shared" si="39"/>
        <v>185440819.57247785</v>
      </c>
      <c r="H113" s="101">
        <f t="shared" si="39"/>
        <v>222895756.16531843</v>
      </c>
      <c r="I113" s="101">
        <f t="shared" si="39"/>
        <v>265622335.11323532</v>
      </c>
      <c r="J113" s="101">
        <f t="shared" si="39"/>
        <v>314378256.52458596</v>
      </c>
      <c r="K113" s="101">
        <f t="shared" si="39"/>
        <v>370026571.37719792</v>
      </c>
    </row>
    <row r="114" spans="1:11" ht="17" thickBot="1" x14ac:dyDescent="0.25">
      <c r="A114" s="56"/>
    </row>
    <row r="115" spans="1:11" ht="17" thickBot="1" x14ac:dyDescent="0.25">
      <c r="A115" s="55" t="s">
        <v>193</v>
      </c>
      <c r="B115" s="124">
        <f t="shared" ref="B115:K115" si="40">B97-B113</f>
        <v>8.529980480670929E-2</v>
      </c>
      <c r="C115" s="126">
        <f t="shared" si="40"/>
        <v>8.5300013422966003E-2</v>
      </c>
      <c r="D115" s="126">
        <f t="shared" si="40"/>
        <v>-0.36683604121208191</v>
      </c>
      <c r="E115" s="126">
        <f t="shared" si="40"/>
        <v>0.27493230998516083</v>
      </c>
      <c r="F115" s="126">
        <f t="shared" si="40"/>
        <v>0.48244026303291321</v>
      </c>
      <c r="G115" s="126">
        <f t="shared" si="40"/>
        <v>8.7363511323928833E-2</v>
      </c>
      <c r="H115" s="126">
        <f t="shared" si="40"/>
        <v>-1.7676025629043579E-2</v>
      </c>
      <c r="I115" s="126">
        <f t="shared" si="40"/>
        <v>6.3269585371017456E-2</v>
      </c>
      <c r="J115" s="126">
        <f t="shared" si="40"/>
        <v>0.25862598419189453</v>
      </c>
      <c r="K115" s="127">
        <f t="shared" si="40"/>
        <v>-0.47391092777252197</v>
      </c>
    </row>
    <row r="116" spans="1:11" x14ac:dyDescent="0.2">
      <c r="A116" s="56"/>
    </row>
    <row r="117" spans="1:11" x14ac:dyDescent="0.2">
      <c r="A117" s="55" t="s">
        <v>194</v>
      </c>
    </row>
    <row r="118" spans="1:11" x14ac:dyDescent="0.2">
      <c r="D118" s="29"/>
      <c r="E118" s="46"/>
    </row>
    <row r="119" spans="1:11" x14ac:dyDescent="0.2">
      <c r="A119" s="12" t="s">
        <v>275</v>
      </c>
      <c r="B119" t="s">
        <v>272</v>
      </c>
    </row>
    <row r="120" spans="1:11" x14ac:dyDescent="0.2">
      <c r="B120" t="s">
        <v>270</v>
      </c>
      <c r="C120" s="99">
        <v>10000000</v>
      </c>
      <c r="D120" s="132"/>
    </row>
    <row r="121" spans="1:11" x14ac:dyDescent="0.2">
      <c r="B121" t="s">
        <v>269</v>
      </c>
      <c r="C121" t="s">
        <v>271</v>
      </c>
    </row>
    <row r="123" spans="1:11" x14ac:dyDescent="0.2">
      <c r="B123" t="s">
        <v>269</v>
      </c>
      <c r="C123" s="61">
        <v>2027</v>
      </c>
      <c r="D123" s="61">
        <v>2028</v>
      </c>
      <c r="E123" s="61">
        <v>2029</v>
      </c>
      <c r="F123" s="61">
        <v>2030</v>
      </c>
      <c r="G123" s="61">
        <v>2031</v>
      </c>
      <c r="H123" s="61">
        <v>2032</v>
      </c>
      <c r="I123" s="61">
        <v>2033</v>
      </c>
      <c r="J123" s="61">
        <v>2034</v>
      </c>
      <c r="K123" s="61">
        <v>2035</v>
      </c>
    </row>
    <row r="124" spans="1:11" x14ac:dyDescent="0.2">
      <c r="C124" s="99">
        <f>(C120/10)*9/12</f>
        <v>750000</v>
      </c>
      <c r="D124" s="99">
        <f>$C$40/10</f>
        <v>1000000</v>
      </c>
      <c r="E124" s="99">
        <f t="shared" ref="E124:K124" si="41">$C$40/10</f>
        <v>1000000</v>
      </c>
      <c r="F124" s="99">
        <f t="shared" si="41"/>
        <v>1000000</v>
      </c>
      <c r="G124" s="99">
        <f t="shared" si="41"/>
        <v>1000000</v>
      </c>
      <c r="H124" s="99">
        <f t="shared" si="41"/>
        <v>1000000</v>
      </c>
      <c r="I124" s="99">
        <f t="shared" si="41"/>
        <v>1000000</v>
      </c>
      <c r="J124" s="99">
        <f t="shared" si="41"/>
        <v>1000000</v>
      </c>
      <c r="K124" s="99">
        <f t="shared" si="41"/>
        <v>1000000</v>
      </c>
    </row>
    <row r="126" spans="1:11" x14ac:dyDescent="0.2">
      <c r="A126" s="12" t="s">
        <v>276</v>
      </c>
      <c r="B126" t="s">
        <v>273</v>
      </c>
      <c r="D126" s="133"/>
    </row>
    <row r="127" spans="1:11" x14ac:dyDescent="0.2">
      <c r="B127" t="s">
        <v>274</v>
      </c>
      <c r="D127" s="46"/>
    </row>
    <row r="128" spans="1:11" x14ac:dyDescent="0.2">
      <c r="B128" t="s">
        <v>279</v>
      </c>
      <c r="D128" s="132"/>
      <c r="E128" s="132"/>
    </row>
    <row r="129" spans="1:12" x14ac:dyDescent="0.2">
      <c r="B129" t="s">
        <v>281</v>
      </c>
      <c r="C129" s="46">
        <v>14000</v>
      </c>
      <c r="D129" s="46"/>
      <c r="E129" s="138"/>
    </row>
    <row r="130" spans="1:12" x14ac:dyDescent="0.2">
      <c r="B130" t="s">
        <v>282</v>
      </c>
      <c r="C130" s="46">
        <v>396280.80000000005</v>
      </c>
      <c r="D130" s="134"/>
      <c r="E130" s="137"/>
      <c r="F130" s="46"/>
    </row>
    <row r="131" spans="1:12" x14ac:dyDescent="0.2">
      <c r="B131" t="s">
        <v>110</v>
      </c>
      <c r="C131" s="46">
        <f>SUM(C129:C130)</f>
        <v>410280.80000000005</v>
      </c>
      <c r="D131" s="125"/>
      <c r="E131" s="137"/>
      <c r="F131" s="139"/>
      <c r="H131" s="46"/>
    </row>
    <row r="132" spans="1:12" x14ac:dyDescent="0.2">
      <c r="E132" s="136"/>
      <c r="F132" s="131"/>
      <c r="H132" s="46"/>
      <c r="I132" s="140"/>
    </row>
    <row r="133" spans="1:12" x14ac:dyDescent="0.2">
      <c r="B133" t="s">
        <v>283</v>
      </c>
      <c r="C133" s="61">
        <v>2026</v>
      </c>
      <c r="D133" s="61">
        <v>2027</v>
      </c>
      <c r="E133" s="61">
        <v>2028</v>
      </c>
      <c r="F133" s="61">
        <v>2029</v>
      </c>
      <c r="G133" s="61">
        <v>2030</v>
      </c>
      <c r="H133" s="61">
        <v>2031</v>
      </c>
      <c r="I133" s="61">
        <v>2032</v>
      </c>
      <c r="J133" s="61">
        <v>2033</v>
      </c>
      <c r="K133" s="61">
        <v>2034</v>
      </c>
      <c r="L133" s="61">
        <v>2035</v>
      </c>
    </row>
    <row r="134" spans="1:12" x14ac:dyDescent="0.2">
      <c r="C134" s="46">
        <f>$C$51*18.4552456113673</f>
        <v>7571832.9336282657</v>
      </c>
      <c r="D134" s="46">
        <f>C134*1.30428844463</f>
        <v>9875854.2000002209</v>
      </c>
      <c r="E134" s="46">
        <f>D134*1.06390513</f>
        <v>10506971.94651228</v>
      </c>
      <c r="F134" s="46">
        <f>E134*1.00873191</f>
        <v>10598717.879921751</v>
      </c>
      <c r="G134" s="46">
        <f>F134*1.02105136</f>
        <v>10821835.305550421</v>
      </c>
      <c r="H134" s="46">
        <f>G134*1.00930629</f>
        <v>10922546.443236113</v>
      </c>
      <c r="I134" s="46">
        <f>H134*1.038631121</f>
        <v>11344496.656512888</v>
      </c>
      <c r="J134" s="46">
        <f>I134*1.040858577</f>
        <v>11808016.646679264</v>
      </c>
      <c r="K134" s="46">
        <f>J134*1.042344253</f>
        <v>12308018.290994462</v>
      </c>
      <c r="L134" s="46">
        <f>K134*1.04335794984964</f>
        <v>12841668.730803851</v>
      </c>
    </row>
    <row r="136" spans="1:12" x14ac:dyDescent="0.2">
      <c r="A136" s="12" t="s">
        <v>277</v>
      </c>
      <c r="B136" t="s">
        <v>278</v>
      </c>
    </row>
    <row r="137" spans="1:12" x14ac:dyDescent="0.2">
      <c r="B137" t="s">
        <v>279</v>
      </c>
      <c r="C137" s="100">
        <v>539928</v>
      </c>
    </row>
    <row r="138" spans="1:12" x14ac:dyDescent="0.2">
      <c r="B138" t="s">
        <v>269</v>
      </c>
      <c r="C138" t="s">
        <v>280</v>
      </c>
    </row>
    <row r="139" spans="1:12" x14ac:dyDescent="0.2">
      <c r="B139" t="s">
        <v>269</v>
      </c>
      <c r="C139" s="61">
        <v>2026</v>
      </c>
      <c r="D139" s="61">
        <v>2027</v>
      </c>
      <c r="E139" s="61">
        <v>2028</v>
      </c>
      <c r="F139" s="61">
        <v>2029</v>
      </c>
      <c r="G139" s="61">
        <v>2030</v>
      </c>
      <c r="H139" s="61"/>
      <c r="I139" s="61"/>
      <c r="J139" s="61"/>
      <c r="K139" s="61"/>
      <c r="L139" s="61"/>
    </row>
    <row r="140" spans="1:12" x14ac:dyDescent="0.2">
      <c r="C140" s="46">
        <f>$C$137/5</f>
        <v>107985.60000000001</v>
      </c>
      <c r="D140" s="46">
        <f t="shared" ref="D140:G140" si="42">$C$137/5</f>
        <v>107985.60000000001</v>
      </c>
      <c r="E140" s="46">
        <f t="shared" si="42"/>
        <v>107985.60000000001</v>
      </c>
      <c r="F140" s="46">
        <f t="shared" si="42"/>
        <v>107985.60000000001</v>
      </c>
      <c r="G140" s="46">
        <f t="shared" si="42"/>
        <v>107985.60000000001</v>
      </c>
    </row>
    <row r="142" spans="1:12" x14ac:dyDescent="0.2">
      <c r="A142" s="12" t="s">
        <v>285</v>
      </c>
      <c r="B142" t="s">
        <v>286</v>
      </c>
    </row>
    <row r="143" spans="1:12" x14ac:dyDescent="0.2">
      <c r="B143" t="s">
        <v>279</v>
      </c>
      <c r="C143" s="46">
        <v>2500000</v>
      </c>
    </row>
    <row r="144" spans="1:12" x14ac:dyDescent="0.2">
      <c r="B144" t="s">
        <v>269</v>
      </c>
      <c r="C144" t="s">
        <v>271</v>
      </c>
    </row>
    <row r="145" spans="1:14" x14ac:dyDescent="0.2">
      <c r="C145" s="61">
        <v>2027</v>
      </c>
      <c r="D145" s="61">
        <v>2028</v>
      </c>
      <c r="E145" s="61">
        <v>2029</v>
      </c>
      <c r="F145" s="61">
        <v>2030</v>
      </c>
      <c r="G145" s="61">
        <v>2031</v>
      </c>
      <c r="H145" s="61">
        <v>2032</v>
      </c>
      <c r="I145" s="61">
        <v>2033</v>
      </c>
      <c r="J145" s="61">
        <v>2034</v>
      </c>
      <c r="K145" s="61">
        <v>2035</v>
      </c>
    </row>
    <row r="146" spans="1:14" x14ac:dyDescent="0.2">
      <c r="C146" s="46">
        <f>(C143/10)*9/12</f>
        <v>187500</v>
      </c>
      <c r="D146" s="46">
        <f>$C$63/10</f>
        <v>250000</v>
      </c>
      <c r="E146" s="46">
        <f t="shared" ref="E146:K146" si="43">$C$63/10</f>
        <v>250000</v>
      </c>
      <c r="F146" s="46">
        <f t="shared" si="43"/>
        <v>250000</v>
      </c>
      <c r="G146" s="46">
        <f t="shared" si="43"/>
        <v>250000</v>
      </c>
      <c r="H146" s="46">
        <f t="shared" si="43"/>
        <v>250000</v>
      </c>
      <c r="I146" s="46">
        <f t="shared" si="43"/>
        <v>250000</v>
      </c>
      <c r="J146" s="46">
        <f t="shared" si="43"/>
        <v>250000</v>
      </c>
      <c r="K146" s="46">
        <f t="shared" si="43"/>
        <v>250000</v>
      </c>
    </row>
    <row r="148" spans="1:14" x14ac:dyDescent="0.2">
      <c r="A148" s="12" t="s">
        <v>288</v>
      </c>
      <c r="B148" t="s">
        <v>187</v>
      </c>
    </row>
    <row r="149" spans="1:14" x14ac:dyDescent="0.2">
      <c r="B149" t="s">
        <v>289</v>
      </c>
      <c r="C149" s="46">
        <v>37639942.812306911</v>
      </c>
    </row>
    <row r="150" spans="1:14" x14ac:dyDescent="0.2">
      <c r="B150" t="s">
        <v>298</v>
      </c>
      <c r="C150" s="75">
        <v>0.105</v>
      </c>
    </row>
    <row r="151" spans="1:14" x14ac:dyDescent="0.2">
      <c r="B151" t="s">
        <v>297</v>
      </c>
      <c r="C151" s="105">
        <v>10</v>
      </c>
    </row>
    <row r="152" spans="1:14" x14ac:dyDescent="0.2">
      <c r="B152" t="s">
        <v>296</v>
      </c>
      <c r="C152" s="103">
        <v>12</v>
      </c>
      <c r="F152" s="46"/>
    </row>
    <row r="153" spans="1:14" x14ac:dyDescent="0.2">
      <c r="B153" t="s">
        <v>295</v>
      </c>
      <c r="C153" s="104">
        <f>((1+(C150/C152))^C152)-1</f>
        <v>0.11020345045182389</v>
      </c>
    </row>
    <row r="154" spans="1:14" x14ac:dyDescent="0.2">
      <c r="B154" t="s">
        <v>291</v>
      </c>
      <c r="C154" s="46">
        <f>PMT(C153/12,(C151*C152),-C149,C157)</f>
        <v>329086.17579157732</v>
      </c>
      <c r="E154" s="46"/>
    </row>
    <row r="155" spans="1:14" x14ac:dyDescent="0.2">
      <c r="B155" t="s">
        <v>290</v>
      </c>
      <c r="C155" s="46">
        <f>SUM(C154,-C156)</f>
        <v>15419.985689019726</v>
      </c>
    </row>
    <row r="156" spans="1:14" x14ac:dyDescent="0.2">
      <c r="B156" t="s">
        <v>292</v>
      </c>
      <c r="C156" s="46">
        <f>C149/120</f>
        <v>313666.19010255759</v>
      </c>
    </row>
    <row r="157" spans="1:14" x14ac:dyDescent="0.2">
      <c r="B157" t="s">
        <v>293</v>
      </c>
      <c r="C157" s="102">
        <f>-FV(C153/12,C151,0,C149)</f>
        <v>41243060.724408075</v>
      </c>
    </row>
    <row r="159" spans="1:14" x14ac:dyDescent="0.2">
      <c r="B159" t="s">
        <v>294</v>
      </c>
      <c r="C159" s="61" t="s">
        <v>54</v>
      </c>
      <c r="D159" s="61" t="s">
        <v>55</v>
      </c>
      <c r="E159" s="61" t="s">
        <v>44</v>
      </c>
      <c r="F159" s="61" t="s">
        <v>45</v>
      </c>
      <c r="G159" s="61" t="s">
        <v>46</v>
      </c>
      <c r="H159" s="61" t="s">
        <v>47</v>
      </c>
      <c r="I159" s="61" t="s">
        <v>48</v>
      </c>
      <c r="J159" s="61" t="s">
        <v>49</v>
      </c>
      <c r="K159" s="61" t="s">
        <v>50</v>
      </c>
      <c r="L159" s="61" t="s">
        <v>51</v>
      </c>
      <c r="M159" s="61" t="s">
        <v>52</v>
      </c>
      <c r="N159" s="61" t="s">
        <v>53</v>
      </c>
    </row>
    <row r="160" spans="1:14" x14ac:dyDescent="0.2">
      <c r="C160" s="102">
        <f>C157-C156</f>
        <v>40929394.53430552</v>
      </c>
      <c r="D160" s="102">
        <f>C160-$C$76</f>
        <v>40341584.10239695</v>
      </c>
      <c r="E160" s="102">
        <f>D160-$C$76</f>
        <v>39753773.670488387</v>
      </c>
      <c r="F160" s="102">
        <f>E160-$C$76</f>
        <v>39165963.238579825</v>
      </c>
      <c r="G160" s="102">
        <f t="shared" ref="G160:H160" si="44">F160-$C$76</f>
        <v>38578152.806671262</v>
      </c>
      <c r="H160" s="102">
        <f t="shared" si="44"/>
        <v>37990342.374762699</v>
      </c>
      <c r="I160" s="102">
        <f>SUM(H160-$C$74)</f>
        <v>37373634.890083089</v>
      </c>
      <c r="J160" s="102">
        <f t="shared" ref="J160:N160" si="45">SUM(I160-$C$74)</f>
        <v>36756927.40540348</v>
      </c>
      <c r="K160" s="102">
        <f t="shared" si="45"/>
        <v>36140219.92072387</v>
      </c>
      <c r="L160" s="102">
        <f t="shared" si="45"/>
        <v>35523512.436044261</v>
      </c>
      <c r="M160" s="102">
        <f t="shared" si="45"/>
        <v>34906804.951364651</v>
      </c>
      <c r="N160" s="102">
        <f t="shared" si="45"/>
        <v>34290097.466685042</v>
      </c>
    </row>
  </sheetData>
  <mergeCells count="2">
    <mergeCell ref="B5:K5"/>
    <mergeCell ref="B85:K85"/>
  </mergeCells>
  <phoneticPr fontId="5" type="noConversion"/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9548-49DD-AA4B-9333-A8C2935893B6}">
  <sheetPr>
    <tabColor theme="9"/>
  </sheetPr>
  <dimension ref="A1:K68"/>
  <sheetViews>
    <sheetView topLeftCell="A35" workbookViewId="0">
      <selection activeCell="B58" sqref="B58"/>
    </sheetView>
  </sheetViews>
  <sheetFormatPr baseColWidth="10" defaultRowHeight="16" x14ac:dyDescent="0.2"/>
  <cols>
    <col min="1" max="1" width="44.5" bestFit="1" customWidth="1"/>
    <col min="2" max="5" width="16" bestFit="1" customWidth="1"/>
    <col min="6" max="11" width="17.33203125" bestFit="1" customWidth="1"/>
  </cols>
  <sheetData>
    <row r="1" spans="1:11" x14ac:dyDescent="0.2">
      <c r="A1" s="60" t="s">
        <v>226</v>
      </c>
    </row>
    <row r="3" spans="1:11" x14ac:dyDescent="0.2">
      <c r="A3" s="13" t="s">
        <v>227</v>
      </c>
    </row>
    <row r="4" spans="1:11" ht="17" thickBot="1" x14ac:dyDescent="0.25"/>
    <row r="5" spans="1:11" ht="17" thickBot="1" x14ac:dyDescent="0.25">
      <c r="A5" s="54" t="s">
        <v>196</v>
      </c>
      <c r="B5" s="145" t="s">
        <v>229</v>
      </c>
      <c r="C5" s="146"/>
      <c r="D5" s="146"/>
      <c r="E5" s="146"/>
      <c r="F5" s="146"/>
      <c r="G5" s="146"/>
      <c r="H5" s="146"/>
      <c r="I5" s="146"/>
      <c r="J5" s="146"/>
      <c r="K5" s="147"/>
    </row>
    <row r="6" spans="1:11" x14ac:dyDescent="0.2">
      <c r="A6" s="53" t="s">
        <v>197</v>
      </c>
      <c r="B6" s="61">
        <v>2026</v>
      </c>
      <c r="C6" s="61">
        <v>2027</v>
      </c>
      <c r="D6" s="61">
        <v>2028</v>
      </c>
      <c r="E6" s="61">
        <v>2029</v>
      </c>
      <c r="F6" s="61">
        <v>2030</v>
      </c>
      <c r="G6" s="61">
        <v>2031</v>
      </c>
      <c r="H6" s="61">
        <v>2032</v>
      </c>
      <c r="I6" s="61">
        <v>2033</v>
      </c>
      <c r="J6" s="61">
        <v>2034</v>
      </c>
      <c r="K6" s="61">
        <v>2035</v>
      </c>
    </row>
    <row r="7" spans="1:11" x14ac:dyDescent="0.2">
      <c r="A7" s="53" t="s">
        <v>198</v>
      </c>
      <c r="B7" s="101">
        <f>SUM('2026 CFS (Best Case)'!B6:M6)</f>
        <v>144529254.46026409</v>
      </c>
      <c r="C7" s="101">
        <f>'3. SOPL (Best Case Scenario)'!C5</f>
        <v>289210751.21250004</v>
      </c>
      <c r="D7" s="101">
        <f>'3. SOPL (Best Case Scenario)'!D5</f>
        <v>332592363.89437503</v>
      </c>
      <c r="E7" s="101">
        <f>'3. SOPL (Best Case Scenario)'!E5</f>
        <v>382481218.47853124</v>
      </c>
      <c r="F7" s="101">
        <f>'3. SOPL (Best Case Scenario)'!F5</f>
        <v>439853401.2503109</v>
      </c>
      <c r="G7" s="101">
        <f>'3. SOPL (Best Case Scenario)'!G5</f>
        <v>505831411.43785751</v>
      </c>
      <c r="H7" s="101">
        <f>'3. SOPL (Best Case Scenario)'!H5</f>
        <v>581706123.15353608</v>
      </c>
      <c r="I7" s="101">
        <f>'3. SOPL (Best Case Scenario)'!I5</f>
        <v>668962041.62656641</v>
      </c>
      <c r="J7" s="101">
        <f>'3. SOPL (Best Case Scenario)'!J5</f>
        <v>769306347.87055135</v>
      </c>
      <c r="K7" s="101">
        <f>'3. SOPL (Best Case Scenario)'!K5</f>
        <v>884702300.05113399</v>
      </c>
    </row>
    <row r="8" spans="1:11" x14ac:dyDescent="0.2">
      <c r="A8" t="s">
        <v>199</v>
      </c>
      <c r="B8" s="46">
        <f>SUM(B9:B14)</f>
        <v>570234.83325255406</v>
      </c>
      <c r="C8" s="46">
        <f>SUM(C9:C14)</f>
        <v>1507734.8332525541</v>
      </c>
      <c r="D8" s="46">
        <f t="shared" ref="D8:I8" si="0">SUM(D9:D14)</f>
        <v>1820234.8332525541</v>
      </c>
      <c r="E8" s="46">
        <f t="shared" si="0"/>
        <v>1820234.8332525541</v>
      </c>
      <c r="F8" s="46">
        <f t="shared" si="0"/>
        <v>1820234.8332525541</v>
      </c>
      <c r="G8" s="46">
        <f t="shared" si="0"/>
        <v>1596764.6332525541</v>
      </c>
      <c r="H8" s="46">
        <f t="shared" si="0"/>
        <v>1596764.6332525541</v>
      </c>
      <c r="I8" s="46">
        <f t="shared" si="0"/>
        <v>1596764.6332525541</v>
      </c>
      <c r="J8" s="46">
        <f>SUM(J9:J14)</f>
        <v>1596764.6332525541</v>
      </c>
      <c r="K8" s="46">
        <f t="shared" ref="K8" si="1">SUM(K9:K14)</f>
        <v>1596764.6332525541</v>
      </c>
    </row>
    <row r="9" spans="1:11" x14ac:dyDescent="0.2">
      <c r="A9" t="s">
        <v>200</v>
      </c>
      <c r="B9" s="46">
        <f>SUM('2026 CFS (Best Case)'!B8:M8)</f>
        <v>223470.19999999998</v>
      </c>
      <c r="C9" s="46">
        <f>'3. SOPL (Best Case Scenario)'!C11</f>
        <v>1160970.2</v>
      </c>
      <c r="D9" s="46">
        <f>'3. SOPL (Best Case Scenario)'!D11</f>
        <v>1473470.2</v>
      </c>
      <c r="E9" s="46">
        <f>'3. SOPL (Best Case Scenario)'!E11</f>
        <v>1473470.2</v>
      </c>
      <c r="F9" s="46">
        <f>'3. SOPL (Best Case Scenario)'!F11</f>
        <v>1473470.2</v>
      </c>
      <c r="G9" s="46">
        <f>'3. SOPL (Best Case Scenario)'!G11</f>
        <v>1250000</v>
      </c>
      <c r="H9" s="46">
        <f>'3. SOPL (Best Case Scenario)'!H11</f>
        <v>1250000</v>
      </c>
      <c r="I9" s="46">
        <f>'3. SOPL (Best Case Scenario)'!I11</f>
        <v>1250000</v>
      </c>
      <c r="J9" s="46">
        <f>'3. SOPL (Best Case Scenario)'!J11</f>
        <v>1250000</v>
      </c>
      <c r="K9" s="46">
        <f>'3. SOPL (Best Case Scenario)'!K11</f>
        <v>1250000</v>
      </c>
    </row>
    <row r="10" spans="1:11" x14ac:dyDescent="0.2">
      <c r="A10" t="s">
        <v>201</v>
      </c>
      <c r="B10" s="46">
        <f>SUM('2026 CFS (Best Case)'!B9:M9)</f>
        <v>346764.63325255411</v>
      </c>
      <c r="C10" s="46">
        <f>-'3. SOPL (Best Case Scenario)'!C21</f>
        <v>346764.63325255411</v>
      </c>
      <c r="D10" s="46">
        <f>-'3. SOPL (Best Case Scenario)'!D21</f>
        <v>346764.63325255411</v>
      </c>
      <c r="E10" s="46">
        <f>-'3. SOPL (Best Case Scenario)'!E21</f>
        <v>346764.63325255411</v>
      </c>
      <c r="F10" s="46">
        <f>-'3. SOPL (Best Case Scenario)'!F21</f>
        <v>346764.63325255411</v>
      </c>
      <c r="G10" s="46">
        <f>-'3. SOPL (Best Case Scenario)'!G21</f>
        <v>346764.63325255411</v>
      </c>
      <c r="H10" s="46">
        <f>-'3. SOPL (Best Case Scenario)'!H21</f>
        <v>346764.63325255411</v>
      </c>
      <c r="I10" s="46">
        <f>-'3. SOPL (Best Case Scenario)'!I21</f>
        <v>346764.63325255411</v>
      </c>
      <c r="J10" s="46">
        <f>-'3. SOPL (Best Case Scenario)'!J21</f>
        <v>346764.63325255411</v>
      </c>
      <c r="K10" s="46">
        <f>-'3. SOPL (Best Case Scenario)'!K21</f>
        <v>346764.63325255411</v>
      </c>
    </row>
    <row r="11" spans="1:11" x14ac:dyDescent="0.2">
      <c r="A11" t="s">
        <v>202</v>
      </c>
      <c r="B11" s="46">
        <f>SUM('2026 CFS (Best Case)'!B10:M10)</f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">
      <c r="A12" t="s">
        <v>203</v>
      </c>
      <c r="B12" s="46">
        <f>SUM('2026 CFS (Best Case)'!B11:M11)</f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">
      <c r="A13" t="s">
        <v>204</v>
      </c>
      <c r="B13" s="46">
        <f>SUM('2026 CFS (Best Case)'!B12:M12)</f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">
      <c r="A14" t="s">
        <v>205</v>
      </c>
      <c r="B14" s="46">
        <f>SUM('2026 CFS (Best Case)'!B13:M13)</f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">
      <c r="A15" s="53" t="s">
        <v>206</v>
      </c>
      <c r="B15" s="101">
        <f>SUM(B7,B8)</f>
        <v>145099489.29351664</v>
      </c>
      <c r="C15" s="101">
        <f>SUM(C7:C8)</f>
        <v>290718486.04575258</v>
      </c>
      <c r="D15" s="101">
        <f t="shared" ref="D15:K15" si="2">SUM(D7:D8)</f>
        <v>334412598.72762758</v>
      </c>
      <c r="E15" s="101">
        <f t="shared" si="2"/>
        <v>384301453.31178379</v>
      </c>
      <c r="F15" s="101">
        <f t="shared" si="2"/>
        <v>441673636.08356345</v>
      </c>
      <c r="G15" s="101">
        <f t="shared" si="2"/>
        <v>507428176.07111007</v>
      </c>
      <c r="H15" s="101">
        <f t="shared" si="2"/>
        <v>583302887.78678858</v>
      </c>
      <c r="I15" s="101">
        <f t="shared" si="2"/>
        <v>670558806.25981891</v>
      </c>
      <c r="J15" s="101">
        <f t="shared" si="2"/>
        <v>770903112.50380385</v>
      </c>
      <c r="K15" s="101">
        <f t="shared" si="2"/>
        <v>886299064.68438649</v>
      </c>
    </row>
    <row r="16" spans="1:11" x14ac:dyDescent="0.2">
      <c r="A16" t="s">
        <v>201</v>
      </c>
      <c r="B16" s="46">
        <f>SUM('2026 CFS (Best Case)'!B15:M15)</f>
        <v>-346764.63325255411</v>
      </c>
      <c r="C16" s="46">
        <f>'3. SOPL (Best Case Scenario)'!C21</f>
        <v>-346764.63325255411</v>
      </c>
      <c r="D16" s="46">
        <f>'3. SOPL (Best Case Scenario)'!D21</f>
        <v>-346764.63325255411</v>
      </c>
      <c r="E16" s="46">
        <f>'3. SOPL (Best Case Scenario)'!E21</f>
        <v>-346764.63325255411</v>
      </c>
      <c r="F16" s="46">
        <f>'3. SOPL (Best Case Scenario)'!F21</f>
        <v>-346764.63325255411</v>
      </c>
      <c r="G16" s="46">
        <f>'3. SOPL (Best Case Scenario)'!G21</f>
        <v>-346764.63325255411</v>
      </c>
      <c r="H16" s="46">
        <f>'3. SOPL (Best Case Scenario)'!H21</f>
        <v>-346764.63325255411</v>
      </c>
      <c r="I16" s="46">
        <f>'3. SOPL (Best Case Scenario)'!I21</f>
        <v>-346764.63325255411</v>
      </c>
      <c r="J16" s="46">
        <f>'3. SOPL (Best Case Scenario)'!J21</f>
        <v>-346764.63325255411</v>
      </c>
      <c r="K16" s="46">
        <f>'3. SOPL (Best Case Scenario)'!K21</f>
        <v>-346764.63325255411</v>
      </c>
    </row>
    <row r="17" spans="1:11" x14ac:dyDescent="0.2">
      <c r="A17" t="s">
        <v>208</v>
      </c>
      <c r="B17" s="46">
        <f>SUM('2026 CFS (Best Case)'!B17:M17)</f>
        <v>-39022898.704271309</v>
      </c>
      <c r="C17" s="46">
        <f>'3. SOPL (Best Case Scenario)'!C23</f>
        <v>-47547507.065507047</v>
      </c>
      <c r="D17" s="46">
        <f>'3. SOPL (Best Case Scenario)'!D23</f>
        <v>-57699684.429125704</v>
      </c>
      <c r="E17" s="46">
        <f>'3. SOPL (Best Case Scenario)'!E23</f>
        <v>-69620844.43639639</v>
      </c>
      <c r="F17" s="46">
        <f>'3. SOPL (Best Case Scenario)'!F23</f>
        <v>-83486610.348533288</v>
      </c>
      <c r="G17" s="46">
        <f>'3. SOPL (Best Case Scenario)'!G23</f>
        <v>-99656675.168551341</v>
      </c>
      <c r="H17" s="46">
        <f>'3. SOPL (Best Case Scenario)'!H23</f>
        <v>-118355000.03781861</v>
      </c>
      <c r="I17" s="46">
        <f>'3. SOPL (Best Case Scenario)'!I23</f>
        <v>-140038646.21416658</v>
      </c>
      <c r="J17" s="46">
        <f>'3. SOPL (Best Case Scenario)'!J23</f>
        <v>-165164259.94991514</v>
      </c>
      <c r="K17" s="46">
        <f>'3. SOPL (Best Case Scenario)'!K23</f>
        <v>-194257417.98998886</v>
      </c>
    </row>
    <row r="18" spans="1:11" x14ac:dyDescent="0.2">
      <c r="A18" s="53" t="s">
        <v>209</v>
      </c>
      <c r="B18" s="101">
        <f t="shared" ref="B18:K18" si="3">SUM(B15:B17)</f>
        <v>105729825.95599276</v>
      </c>
      <c r="C18" s="101">
        <f t="shared" si="3"/>
        <v>242824214.34699297</v>
      </c>
      <c r="D18" s="101">
        <f t="shared" si="3"/>
        <v>276366149.66524929</v>
      </c>
      <c r="E18" s="101">
        <f t="shared" si="3"/>
        <v>314333844.24213481</v>
      </c>
      <c r="F18" s="101">
        <f t="shared" si="3"/>
        <v>357840261.10177761</v>
      </c>
      <c r="G18" s="101">
        <f t="shared" si="3"/>
        <v>407424736.26930618</v>
      </c>
      <c r="H18" s="101">
        <f t="shared" si="3"/>
        <v>464601123.11571747</v>
      </c>
      <c r="I18" s="101">
        <f t="shared" si="3"/>
        <v>530173395.41239983</v>
      </c>
      <c r="J18" s="101">
        <f t="shared" si="3"/>
        <v>605392087.92063618</v>
      </c>
      <c r="K18" s="101">
        <f t="shared" si="3"/>
        <v>691694882.06114507</v>
      </c>
    </row>
    <row r="19" spans="1:11" x14ac:dyDescent="0.2">
      <c r="A19" s="53" t="s">
        <v>210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2">
      <c r="A20" t="s">
        <v>299</v>
      </c>
      <c r="B20" s="46">
        <f>SUM('2026 CFS (Best Case)'!B20:M20)</f>
        <v>-410280.8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">
      <c r="A21" t="s">
        <v>300</v>
      </c>
      <c r="B21" s="46">
        <f>SUM('2026 CFS (Best Case)'!B21:M21)</f>
        <v>0</v>
      </c>
      <c r="C21" s="122">
        <f>-'Projected BS'!C40</f>
        <v>-10000000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">
      <c r="A22" t="s">
        <v>302</v>
      </c>
      <c r="B22" s="46">
        <f>SUM('2026 CFS (Best Case)'!B22:M22)</f>
        <v>0</v>
      </c>
      <c r="C22" s="46">
        <f>-'Projected BS'!C63</f>
        <v>-2500000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">
      <c r="A23" t="s">
        <v>211</v>
      </c>
      <c r="B23" s="46">
        <f>SUM('2026 CFS (Best Case)'!B23:M23)</f>
        <v>-1117351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">
      <c r="A24" s="53" t="s">
        <v>212</v>
      </c>
      <c r="B24" s="101">
        <f>SUM(B20:B23)</f>
        <v>-1527631.8</v>
      </c>
      <c r="C24" s="101">
        <f>SUM(C20:C23)</f>
        <v>-12500000</v>
      </c>
      <c r="D24" s="101">
        <f t="shared" ref="D24:G24" si="4">SUM(D20:D23)</f>
        <v>0</v>
      </c>
      <c r="E24" s="101">
        <f t="shared" si="4"/>
        <v>0</v>
      </c>
      <c r="F24" s="101">
        <f t="shared" si="4"/>
        <v>0</v>
      </c>
      <c r="G24" s="101">
        <f t="shared" si="4"/>
        <v>0</v>
      </c>
      <c r="H24" s="101">
        <f t="shared" ref="H24" si="5">SUM(H20:H23)</f>
        <v>0</v>
      </c>
      <c r="I24" s="101">
        <f t="shared" ref="I24" si="6">SUM(I20:I23)</f>
        <v>0</v>
      </c>
      <c r="J24" s="101">
        <f t="shared" ref="J24:K24" si="7">SUM(J20:J23)</f>
        <v>0</v>
      </c>
      <c r="K24" s="101">
        <f t="shared" si="7"/>
        <v>0</v>
      </c>
    </row>
    <row r="25" spans="1:11" x14ac:dyDescent="0.2">
      <c r="A25" s="53" t="s">
        <v>213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t="s">
        <v>214</v>
      </c>
      <c r="B26" s="46">
        <f>SUM('2026 CFS (Best Case)'!B26:M26)</f>
        <v>100000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">
      <c r="A27" t="s">
        <v>207</v>
      </c>
      <c r="B27" s="46">
        <f>'Projected BS'!B23</f>
        <v>-36927224.51459749</v>
      </c>
      <c r="C27" s="46">
        <f>'Projected BS'!C23</f>
        <v>-44994029.83421129</v>
      </c>
      <c r="D27" s="46">
        <f>'Projected BS'!D23</f>
        <v>-54600997.672746725</v>
      </c>
      <c r="E27" s="46">
        <f>'Projected BS'!E23</f>
        <v>-65881947.235182501</v>
      </c>
      <c r="F27" s="46">
        <f>'Projected BS'!F23</f>
        <v>-79003070.163149089</v>
      </c>
      <c r="G27" s="46">
        <f>'Projected BS'!G23</f>
        <v>-94304742.613203198</v>
      </c>
      <c r="H27" s="46">
        <f>'Projected BS'!H23</f>
        <v>-111998898.18393575</v>
      </c>
      <c r="I27" s="46">
        <f>'Projected BS'!I23</f>
        <v>-132518052.25081319</v>
      </c>
      <c r="J27" s="46">
        <f>'Projected BS'!J23</f>
        <v>-156294327.47112337</v>
      </c>
      <c r="K27" s="46">
        <f>'Projected BS'!K23</f>
        <v>-183825075.17200795</v>
      </c>
    </row>
    <row r="28" spans="1:11" x14ac:dyDescent="0.2">
      <c r="A28" t="s">
        <v>215</v>
      </c>
      <c r="B28" s="46">
        <f>SUM('2026 CFS (Best Case)'!B28:M28)</f>
        <v>70537251.829027981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">
      <c r="A29" t="s">
        <v>216</v>
      </c>
      <c r="B29" s="46">
        <f>SUM('2026 CFS (Best Case)'!B29:M29)</f>
        <v>-7053725.1829027981</v>
      </c>
      <c r="C29" s="46">
        <f>-SUM('Projected BS'!$C$76*12)</f>
        <v>-7053725.1829027981</v>
      </c>
      <c r="D29" s="46">
        <f>-SUM('Projected BS'!$C$76*12)</f>
        <v>-7053725.1829027981</v>
      </c>
      <c r="E29" s="46">
        <f>-SUM('Projected BS'!$C$76*12)</f>
        <v>-7053725.1829027981</v>
      </c>
      <c r="F29" s="46">
        <f>-SUM('Projected BS'!$C$76*12)</f>
        <v>-7053725.1829027981</v>
      </c>
      <c r="G29" s="46">
        <f>-SUM('Projected BS'!$C$76*12)</f>
        <v>-7053725.1829027981</v>
      </c>
      <c r="H29" s="46">
        <f>-SUM('Projected BS'!$C$76*12)</f>
        <v>-7053725.1829027981</v>
      </c>
      <c r="I29" s="46">
        <f>-SUM('Projected BS'!$C$76*12)</f>
        <v>-7053725.1829027981</v>
      </c>
      <c r="J29" s="46">
        <f>-SUM('Projected BS'!$C$76*12)</f>
        <v>-7053725.1829027981</v>
      </c>
      <c r="K29" s="46">
        <f>-SUM('Projected BS'!$C$76*12)</f>
        <v>-7053725.1829027981</v>
      </c>
    </row>
    <row r="30" spans="1:11" x14ac:dyDescent="0.2">
      <c r="A30" s="53" t="s">
        <v>301</v>
      </c>
      <c r="B30" s="101">
        <f t="shared" ref="B30:K30" si="8">SUM(B26:B29)</f>
        <v>26656302.131527692</v>
      </c>
      <c r="C30" s="101">
        <f t="shared" si="8"/>
        <v>-52047755.017114088</v>
      </c>
      <c r="D30" s="101">
        <f t="shared" si="8"/>
        <v>-61654722.855649523</v>
      </c>
      <c r="E30" s="101">
        <f t="shared" si="8"/>
        <v>-72935672.418085307</v>
      </c>
      <c r="F30" s="101">
        <f t="shared" si="8"/>
        <v>-86056795.346051887</v>
      </c>
      <c r="G30" s="101">
        <f t="shared" si="8"/>
        <v>-101358467.796106</v>
      </c>
      <c r="H30" s="101">
        <f t="shared" si="8"/>
        <v>-119052623.36683854</v>
      </c>
      <c r="I30" s="101">
        <f t="shared" si="8"/>
        <v>-139571777.433716</v>
      </c>
      <c r="J30" s="101">
        <f t="shared" si="8"/>
        <v>-163348052.65402615</v>
      </c>
      <c r="K30" s="101">
        <f t="shared" si="8"/>
        <v>-190878800.35491073</v>
      </c>
    </row>
    <row r="31" spans="1:11" x14ac:dyDescent="0.2">
      <c r="A31" s="53" t="s">
        <v>217</v>
      </c>
      <c r="B31" s="101">
        <f t="shared" ref="B31:K31" si="9">SUM(B18,B24,B30)</f>
        <v>130858496.28752045</v>
      </c>
      <c r="C31" s="101">
        <f t="shared" si="9"/>
        <v>178276459.32987887</v>
      </c>
      <c r="D31" s="101">
        <f t="shared" si="9"/>
        <v>214711426.80959976</v>
      </c>
      <c r="E31" s="101">
        <f t="shared" si="9"/>
        <v>241398171.8240495</v>
      </c>
      <c r="F31" s="101">
        <f t="shared" si="9"/>
        <v>271783465.75572574</v>
      </c>
      <c r="G31" s="101">
        <f t="shared" si="9"/>
        <v>306066268.4732002</v>
      </c>
      <c r="H31" s="101">
        <f t="shared" si="9"/>
        <v>345548499.74887896</v>
      </c>
      <c r="I31" s="101">
        <f t="shared" si="9"/>
        <v>390601617.97868383</v>
      </c>
      <c r="J31" s="101">
        <f t="shared" si="9"/>
        <v>442044035.26661003</v>
      </c>
      <c r="K31" s="101">
        <f t="shared" si="9"/>
        <v>500816081.70623434</v>
      </c>
    </row>
    <row r="32" spans="1:11" x14ac:dyDescent="0.2">
      <c r="A32" s="53" t="s">
        <v>218</v>
      </c>
      <c r="B32" s="101">
        <v>0</v>
      </c>
      <c r="C32" s="101">
        <f>B33</f>
        <v>130858496.28752045</v>
      </c>
      <c r="D32" s="101">
        <f>C33</f>
        <v>309134955.61739933</v>
      </c>
      <c r="E32" s="101">
        <f>D33</f>
        <v>523846382.42699909</v>
      </c>
      <c r="F32" s="101">
        <f t="shared" ref="F32:J32" si="10">E33</f>
        <v>765244554.25104856</v>
      </c>
      <c r="G32" s="101">
        <f t="shared" si="10"/>
        <v>1037028020.0067743</v>
      </c>
      <c r="H32" s="101">
        <f t="shared" si="10"/>
        <v>1343094288.4799745</v>
      </c>
      <c r="I32" s="101">
        <f t="shared" si="10"/>
        <v>1688642788.2288535</v>
      </c>
      <c r="J32" s="101">
        <f t="shared" si="10"/>
        <v>2079244406.2075372</v>
      </c>
      <c r="K32" s="101">
        <f>J33</f>
        <v>2521288441.4741473</v>
      </c>
    </row>
    <row r="33" spans="1:11" x14ac:dyDescent="0.2">
      <c r="A33" s="53" t="s">
        <v>219</v>
      </c>
      <c r="B33" s="101">
        <f>SUM(B31:B32)</f>
        <v>130858496.28752045</v>
      </c>
      <c r="C33" s="101">
        <f>SUM(C31:C32)</f>
        <v>309134955.61739933</v>
      </c>
      <c r="D33" s="101">
        <f>SUM(D31:D32)</f>
        <v>523846382.42699909</v>
      </c>
      <c r="E33" s="101">
        <f>SUM(E31:E32)</f>
        <v>765244554.25104856</v>
      </c>
      <c r="F33" s="101">
        <f t="shared" ref="F33:J33" si="11">SUM(F31:F32)</f>
        <v>1037028020.0067743</v>
      </c>
      <c r="G33" s="101">
        <f t="shared" si="11"/>
        <v>1343094288.4799745</v>
      </c>
      <c r="H33" s="101">
        <f t="shared" si="11"/>
        <v>1688642788.2288535</v>
      </c>
      <c r="I33" s="101">
        <f t="shared" si="11"/>
        <v>2079244406.2075372</v>
      </c>
      <c r="J33" s="101">
        <f t="shared" si="11"/>
        <v>2521288441.4741473</v>
      </c>
      <c r="K33" s="101">
        <f>SUM(K31:K32)</f>
        <v>3022104523.1803818</v>
      </c>
    </row>
    <row r="34" spans="1:11" x14ac:dyDescent="0.2">
      <c r="B34" s="46"/>
    </row>
    <row r="37" spans="1:11" x14ac:dyDescent="0.2">
      <c r="A37" s="13" t="s">
        <v>228</v>
      </c>
    </row>
    <row r="38" spans="1:11" ht="17" thickBot="1" x14ac:dyDescent="0.25"/>
    <row r="39" spans="1:11" ht="17" thickBot="1" x14ac:dyDescent="0.25">
      <c r="A39" s="54" t="s">
        <v>196</v>
      </c>
      <c r="B39" s="145" t="s">
        <v>229</v>
      </c>
      <c r="C39" s="146"/>
      <c r="D39" s="146"/>
      <c r="E39" s="146"/>
      <c r="F39" s="146"/>
      <c r="G39" s="146"/>
      <c r="H39" s="146"/>
      <c r="I39" s="146"/>
      <c r="J39" s="146"/>
      <c r="K39" s="147"/>
    </row>
    <row r="40" spans="1:11" x14ac:dyDescent="0.2">
      <c r="A40" s="53" t="s">
        <v>197</v>
      </c>
      <c r="B40" s="61">
        <v>2026</v>
      </c>
      <c r="C40" s="61">
        <v>2027</v>
      </c>
      <c r="D40" s="61">
        <v>2028</v>
      </c>
      <c r="E40" s="61">
        <v>2029</v>
      </c>
      <c r="F40" s="61">
        <v>2030</v>
      </c>
      <c r="G40" s="61">
        <v>2031</v>
      </c>
      <c r="H40" s="61">
        <v>2032</v>
      </c>
      <c r="I40" s="61">
        <v>2033</v>
      </c>
      <c r="J40" s="61">
        <v>2034</v>
      </c>
      <c r="K40" s="61">
        <v>2035</v>
      </c>
    </row>
    <row r="41" spans="1:11" x14ac:dyDescent="0.2">
      <c r="A41" s="53" t="s">
        <v>198</v>
      </c>
      <c r="B41" s="101">
        <f>SUM('2026 CFS (Worst Case)'!B6:M6)</f>
        <v>29102309.771318465</v>
      </c>
      <c r="C41" s="101">
        <f>'SOPL (Worst Case Scenario)'!C31</f>
        <v>34446489.646239512</v>
      </c>
      <c r="D41" s="101">
        <f>'SOPL (Worst Case Scenario)'!D31</f>
        <v>39796896.227415666</v>
      </c>
      <c r="E41" s="101">
        <f>'SOPL (Worst Case Scenario)'!E31</f>
        <v>45590488.795768283</v>
      </c>
      <c r="F41" s="101">
        <f>'SOPL (Worst Case Scenario)'!F31</f>
        <v>52253120.249373741</v>
      </c>
      <c r="G41" s="101">
        <f>'SOPL (Worst Case Scenario)'!G31</f>
        <v>59807160.821020029</v>
      </c>
      <c r="H41" s="101">
        <f>'SOPL (Worst Case Scenario)'!H31</f>
        <v>68618490.918413267</v>
      </c>
      <c r="I41" s="101">
        <f>'SOPL (Worst Case Scenario)'!I31</f>
        <v>78751520.530415565</v>
      </c>
      <c r="J41" s="101">
        <f>'SOPL (Worst Case Scenario)'!J31</f>
        <v>90404504.584218055</v>
      </c>
      <c r="K41" s="101">
        <f>'SOPL (Worst Case Scenario)'!K31</f>
        <v>103805436.24609098</v>
      </c>
    </row>
    <row r="42" spans="1:11" x14ac:dyDescent="0.2">
      <c r="A42" t="s">
        <v>199</v>
      </c>
      <c r="B42" s="46">
        <f>SUM(B43:B48)</f>
        <v>293025.42826823675</v>
      </c>
      <c r="C42" s="46">
        <f t="shared" ref="C42:I42" si="12">SUM(C43:C48)</f>
        <v>-1230525.4282682366</v>
      </c>
      <c r="D42" s="46">
        <f t="shared" si="12"/>
        <v>-1543025.4282682368</v>
      </c>
      <c r="E42" s="46">
        <f t="shared" si="12"/>
        <v>-1543025.4282682368</v>
      </c>
      <c r="F42" s="46">
        <f t="shared" si="12"/>
        <v>-1543025.4282682368</v>
      </c>
      <c r="G42" s="46">
        <f t="shared" si="12"/>
        <v>-1435039.8282682367</v>
      </c>
      <c r="H42" s="46">
        <f t="shared" si="12"/>
        <v>-1435039.8282682367</v>
      </c>
      <c r="I42" s="46">
        <f t="shared" si="12"/>
        <v>-1435039.8282682367</v>
      </c>
      <c r="J42" s="46">
        <f>SUM(J43:J48)</f>
        <v>-1435039.8282682367</v>
      </c>
      <c r="K42" s="46">
        <f t="shared" ref="K42" si="13">SUM(K43:K48)</f>
        <v>-1435039.8282682367</v>
      </c>
    </row>
    <row r="43" spans="1:11" x14ac:dyDescent="0.2">
      <c r="A43" t="s">
        <v>200</v>
      </c>
      <c r="B43" s="46">
        <f>SUM('2026 CFS (Worst Case)'!B8:M8)</f>
        <v>107985.60000000002</v>
      </c>
      <c r="C43" s="46">
        <f>'SOPL (Worst Case Scenario)'!C20</f>
        <v>-1045485.6</v>
      </c>
      <c r="D43" s="46">
        <f>'SOPL (Worst Case Scenario)'!D20</f>
        <v>-1357985.6</v>
      </c>
      <c r="E43" s="46">
        <f>'SOPL (Worst Case Scenario)'!E20</f>
        <v>-1357985.6</v>
      </c>
      <c r="F43" s="46">
        <f>'SOPL (Worst Case Scenario)'!F20</f>
        <v>-1357985.6</v>
      </c>
      <c r="G43" s="46">
        <f>'SOPL (Worst Case Scenario)'!G20</f>
        <v>-1250000</v>
      </c>
      <c r="H43" s="46">
        <f>'SOPL (Worst Case Scenario)'!H20</f>
        <v>-1250000</v>
      </c>
      <c r="I43" s="46">
        <f>'SOPL (Worst Case Scenario)'!I20</f>
        <v>-1250000</v>
      </c>
      <c r="J43" s="46">
        <f>'SOPL (Worst Case Scenario)'!J20</f>
        <v>-1250000</v>
      </c>
      <c r="K43" s="46">
        <f>'SOPL (Worst Case Scenario)'!K20</f>
        <v>-1250000</v>
      </c>
    </row>
    <row r="44" spans="1:11" x14ac:dyDescent="0.2">
      <c r="A44" t="s">
        <v>201</v>
      </c>
      <c r="B44" s="46">
        <f>SUM('2026 CFS (Worst Case)'!B9:M9)</f>
        <v>185039.82826823671</v>
      </c>
      <c r="C44" s="46">
        <f>'SOPL (Worst Case Scenario)'!C30</f>
        <v>-185039.82826823671</v>
      </c>
      <c r="D44" s="46">
        <f>'SOPL (Worst Case Scenario)'!D30</f>
        <v>-185039.82826823671</v>
      </c>
      <c r="E44" s="46">
        <f>'SOPL (Worst Case Scenario)'!E30</f>
        <v>-185039.82826823671</v>
      </c>
      <c r="F44" s="46">
        <f>'SOPL (Worst Case Scenario)'!F30</f>
        <v>-185039.82826823671</v>
      </c>
      <c r="G44" s="46">
        <f>'SOPL (Worst Case Scenario)'!G30</f>
        <v>-185039.82826823671</v>
      </c>
      <c r="H44" s="46">
        <f>'SOPL (Worst Case Scenario)'!H30</f>
        <v>-185039.82826823671</v>
      </c>
      <c r="I44" s="46">
        <f>'SOPL (Worst Case Scenario)'!I30</f>
        <v>-185039.82826823671</v>
      </c>
      <c r="J44" s="46">
        <f>'SOPL (Worst Case Scenario)'!J30</f>
        <v>-185039.82826823671</v>
      </c>
      <c r="K44" s="46">
        <f>'SOPL (Worst Case Scenario)'!K30</f>
        <v>-185039.82826823671</v>
      </c>
    </row>
    <row r="45" spans="1:11" x14ac:dyDescent="0.2">
      <c r="A45" t="s">
        <v>202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1:11" x14ac:dyDescent="0.2">
      <c r="A46" t="s">
        <v>203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1:11" x14ac:dyDescent="0.2">
      <c r="A47" t="s">
        <v>204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1:11" x14ac:dyDescent="0.2">
      <c r="A48" t="s">
        <v>205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1:11" x14ac:dyDescent="0.2">
      <c r="A49" s="53" t="s">
        <v>206</v>
      </c>
      <c r="B49" s="101">
        <f>SUM(B41,B42)</f>
        <v>29395335.199586701</v>
      </c>
      <c r="C49" s="101">
        <f t="shared" ref="C49:J49" si="14">SUM(C41,C42)</f>
        <v>33215964.217971276</v>
      </c>
      <c r="D49" s="101">
        <f t="shared" si="14"/>
        <v>38253870.799147427</v>
      </c>
      <c r="E49" s="101">
        <f t="shared" si="14"/>
        <v>44047463.367500044</v>
      </c>
      <c r="F49" s="101">
        <f t="shared" si="14"/>
        <v>50710094.821105503</v>
      </c>
      <c r="G49" s="101">
        <f>SUM(G41,G42)</f>
        <v>58372120.992751792</v>
      </c>
      <c r="H49" s="101">
        <f t="shared" si="14"/>
        <v>67183451.090145037</v>
      </c>
      <c r="I49" s="101">
        <f t="shared" si="14"/>
        <v>77316480.702147335</v>
      </c>
      <c r="J49" s="101">
        <f t="shared" si="14"/>
        <v>88969464.755949825</v>
      </c>
      <c r="K49" s="101">
        <f>SUM(K41,K42)</f>
        <v>102370396.41782275</v>
      </c>
    </row>
    <row r="50" spans="1:11" x14ac:dyDescent="0.2">
      <c r="A50" t="s">
        <v>201</v>
      </c>
      <c r="B50" s="46">
        <f>SUM('2026 CFS (Worst Case)'!B12:M12)</f>
        <v>-185039.82826823671</v>
      </c>
      <c r="C50" s="46">
        <f>-C44</f>
        <v>185039.82826823671</v>
      </c>
      <c r="D50" s="46">
        <f t="shared" ref="D50:K50" si="15">-D44</f>
        <v>185039.82826823671</v>
      </c>
      <c r="E50" s="46">
        <f t="shared" si="15"/>
        <v>185039.82826823671</v>
      </c>
      <c r="F50" s="46">
        <f t="shared" si="15"/>
        <v>185039.82826823671</v>
      </c>
      <c r="G50" s="46">
        <f t="shared" si="15"/>
        <v>185039.82826823671</v>
      </c>
      <c r="H50" s="46">
        <f t="shared" si="15"/>
        <v>185039.82826823671</v>
      </c>
      <c r="I50" s="46">
        <f t="shared" si="15"/>
        <v>185039.82826823671</v>
      </c>
      <c r="J50" s="46">
        <f t="shared" si="15"/>
        <v>185039.82826823671</v>
      </c>
      <c r="K50" s="46">
        <f t="shared" si="15"/>
        <v>185039.82826823671</v>
      </c>
    </row>
    <row r="51" spans="1:11" x14ac:dyDescent="0.2">
      <c r="A51" t="s">
        <v>208</v>
      </c>
      <c r="B51" s="46">
        <f>SUM('2026 CFS (Worst Case)'!B14:M14)</f>
        <v>-7857623.6382559845</v>
      </c>
      <c r="C51" s="46">
        <f>'SOPL (Worst Case Scenario)'!C32</f>
        <v>-9300552.2044846695</v>
      </c>
      <c r="D51" s="46">
        <f>'SOPL (Worst Case Scenario)'!D32</f>
        <v>-10745161.981402231</v>
      </c>
      <c r="E51" s="46">
        <f>'SOPL (Worst Case Scenario)'!E32</f>
        <v>-12309431.974857436</v>
      </c>
      <c r="F51" s="46">
        <f>'SOPL (Worst Case Scenario)'!F32</f>
        <v>-14108342.46733091</v>
      </c>
      <c r="G51" s="46">
        <f>'SOPL (Worst Case Scenario)'!G32</f>
        <v>-16147933.421675408</v>
      </c>
      <c r="H51" s="46">
        <f>'SOPL (Worst Case Scenario)'!H32</f>
        <v>-18526992.547971584</v>
      </c>
      <c r="I51" s="46">
        <f>'SOPL (Worst Case Scenario)'!I32</f>
        <v>-21262910.543212205</v>
      </c>
      <c r="J51" s="46">
        <f>'SOPL (Worst Case Scenario)'!J32</f>
        <v>-24409216.237738878</v>
      </c>
      <c r="K51" s="46">
        <f>'SOPL (Worst Case Scenario)'!K32</f>
        <v>-28027467.786444567</v>
      </c>
    </row>
    <row r="52" spans="1:11" x14ac:dyDescent="0.2">
      <c r="A52" s="53" t="s">
        <v>209</v>
      </c>
      <c r="B52" s="101">
        <f>SUM(B49,B50:B51)</f>
        <v>21352671.73306248</v>
      </c>
      <c r="C52" s="101">
        <f t="shared" ref="C52:K52" si="16">SUM(C49,C50:C51)</f>
        <v>24100451.841754846</v>
      </c>
      <c r="D52" s="101">
        <f t="shared" si="16"/>
        <v>27693748.646013431</v>
      </c>
      <c r="E52" s="101">
        <f t="shared" si="16"/>
        <v>31923071.220910847</v>
      </c>
      <c r="F52" s="101">
        <f t="shared" si="16"/>
        <v>36786792.18204283</v>
      </c>
      <c r="G52" s="101">
        <f t="shared" si="16"/>
        <v>42409227.399344623</v>
      </c>
      <c r="H52" s="101">
        <f t="shared" si="16"/>
        <v>48841498.370441683</v>
      </c>
      <c r="I52" s="101">
        <f t="shared" si="16"/>
        <v>56238609.98720336</v>
      </c>
      <c r="J52" s="101">
        <f t="shared" si="16"/>
        <v>64745288.346479177</v>
      </c>
      <c r="K52" s="101">
        <f t="shared" si="16"/>
        <v>74527968.459646404</v>
      </c>
    </row>
    <row r="53" spans="1:11" x14ac:dyDescent="0.2">
      <c r="A53" s="53" t="s">
        <v>210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 x14ac:dyDescent="0.2">
      <c r="A54" t="s">
        <v>299</v>
      </c>
      <c r="B54" s="46">
        <f>SUM('2026 CFS (Worst Case)'!B17:M17)</f>
        <v>-410280.80000000005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1:11" x14ac:dyDescent="0.2">
      <c r="A55" t="s">
        <v>300</v>
      </c>
      <c r="B55" s="46">
        <f>SUM('2026 CFS (Worst Case)'!B18:M18)</f>
        <v>0</v>
      </c>
      <c r="C55" s="46">
        <f>-'Projected BS'!C120</f>
        <v>-10000000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1:11" x14ac:dyDescent="0.2">
      <c r="A56" t="s">
        <v>302</v>
      </c>
      <c r="B56" s="46">
        <v>0</v>
      </c>
      <c r="C56" s="46">
        <f>-'Projected BS'!C143</f>
        <v>-2500000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1:11" x14ac:dyDescent="0.2">
      <c r="A57" t="s">
        <v>211</v>
      </c>
      <c r="B57" s="46">
        <f>SUM('2026 CFS (Worst Case)'!B20:M20)</f>
        <v>-539928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1:11" x14ac:dyDescent="0.2">
      <c r="A58" s="53" t="s">
        <v>212</v>
      </c>
      <c r="B58" s="101">
        <f>SUM(B54:B57)</f>
        <v>-950208.8</v>
      </c>
      <c r="C58" s="101">
        <f t="shared" ref="C58:K58" si="17">SUM(C54:C57)</f>
        <v>-12500000</v>
      </c>
      <c r="D58" s="101">
        <f t="shared" si="17"/>
        <v>0</v>
      </c>
      <c r="E58" s="101">
        <f t="shared" si="17"/>
        <v>0</v>
      </c>
      <c r="F58" s="101">
        <f t="shared" si="17"/>
        <v>0</v>
      </c>
      <c r="G58" s="101">
        <f t="shared" si="17"/>
        <v>0</v>
      </c>
      <c r="H58" s="101">
        <f t="shared" si="17"/>
        <v>0</v>
      </c>
      <c r="I58" s="101">
        <f t="shared" si="17"/>
        <v>0</v>
      </c>
      <c r="J58" s="101">
        <f t="shared" si="17"/>
        <v>0</v>
      </c>
      <c r="K58" s="101">
        <f t="shared" si="17"/>
        <v>0</v>
      </c>
    </row>
    <row r="59" spans="1:11" x14ac:dyDescent="0.2">
      <c r="A59" s="53" t="s">
        <v>213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 x14ac:dyDescent="0.2">
      <c r="A60" t="s">
        <v>214</v>
      </c>
      <c r="B60" s="46">
        <f>SUM('2026 CFS (Worst Case)'!B23:M23)</f>
        <v>100000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1:11" x14ac:dyDescent="0.2">
      <c r="A61" t="s">
        <v>207</v>
      </c>
      <c r="B61" s="46">
        <f>'Projected BS'!B103</f>
        <v>-7442255.435926795</v>
      </c>
      <c r="C61" s="46">
        <f>'Projected BS'!C103</f>
        <v>-8801078.1046141945</v>
      </c>
      <c r="D61" s="46">
        <f>'Projected BS'!D103</f>
        <v>-10168106.986104701</v>
      </c>
      <c r="E61" s="46">
        <f>'Projected BS'!E103</f>
        <v>-11648369.887318796</v>
      </c>
      <c r="F61" s="46">
        <f>'Projected BS'!F103</f>
        <v>-13350672.223714991</v>
      </c>
      <c r="G61" s="46">
        <f>'Projected BS'!G103</f>
        <v>-15280729.589770617</v>
      </c>
      <c r="H61" s="46">
        <f>'Projected BS'!H103</f>
        <v>-17532024.429654587</v>
      </c>
      <c r="I61" s="46">
        <f>'Projected BS'!I103</f>
        <v>-20121013.495521173</v>
      </c>
      <c r="J61" s="46">
        <f>'Projected BS'!J103</f>
        <v>-23098350.921267711</v>
      </c>
      <c r="K61" s="46">
        <f>'Projected BS'!K103</f>
        <v>-26522288.960876241</v>
      </c>
    </row>
    <row r="62" spans="1:11" x14ac:dyDescent="0.2">
      <c r="A62" t="s">
        <v>215</v>
      </c>
      <c r="B62" s="46">
        <f>SUM('2026 CFS (Worst Case)'!B25:M25)</f>
        <v>37639942.812306911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1:11" x14ac:dyDescent="0.2">
      <c r="A63" t="s">
        <v>216</v>
      </c>
      <c r="B63" s="46">
        <f>'Projected BS'!B107</f>
        <v>-3949034.1094989278</v>
      </c>
      <c r="C63" s="46">
        <f>'Projected BS'!C107</f>
        <v>-3949034.1094989278</v>
      </c>
      <c r="D63" s="46">
        <f>'Projected BS'!D107</f>
        <v>-3949034.1094989278</v>
      </c>
      <c r="E63" s="46">
        <f>'Projected BS'!E107</f>
        <v>-3949034.1094989278</v>
      </c>
      <c r="F63" s="46">
        <f>'Projected BS'!F107</f>
        <v>-3949034.1094989278</v>
      </c>
      <c r="G63" s="46">
        <f>'Projected BS'!G107</f>
        <v>-3949034.1094989278</v>
      </c>
      <c r="H63" s="46">
        <f>'Projected BS'!H107</f>
        <v>-3949034.1094989278</v>
      </c>
      <c r="I63" s="46">
        <f>'Projected BS'!I107</f>
        <v>-3949034.1094989278</v>
      </c>
      <c r="J63" s="46">
        <f>'Projected BS'!J107</f>
        <v>-3949034.1094989278</v>
      </c>
      <c r="K63" s="46">
        <f>'Projected BS'!K107</f>
        <v>-3949034.1094989278</v>
      </c>
    </row>
    <row r="64" spans="1:11" x14ac:dyDescent="0.2">
      <c r="A64" s="53" t="s">
        <v>301</v>
      </c>
      <c r="B64" s="101">
        <f>SUM(B60:B63)</f>
        <v>26348653.266881187</v>
      </c>
      <c r="C64" s="101">
        <f t="shared" ref="C64:K64" si="18">SUM(C60:C63)</f>
        <v>-12750112.214113122</v>
      </c>
      <c r="D64" s="101">
        <f t="shared" si="18"/>
        <v>-14117141.095603628</v>
      </c>
      <c r="E64" s="101">
        <f t="shared" si="18"/>
        <v>-15597403.996817723</v>
      </c>
      <c r="F64" s="101">
        <f t="shared" si="18"/>
        <v>-17299706.333213918</v>
      </c>
      <c r="G64" s="101">
        <f t="shared" si="18"/>
        <v>-19229763.699269544</v>
      </c>
      <c r="H64" s="101">
        <f t="shared" si="18"/>
        <v>-21481058.539153516</v>
      </c>
      <c r="I64" s="101">
        <f t="shared" si="18"/>
        <v>-24070047.605020102</v>
      </c>
      <c r="J64" s="101">
        <f t="shared" si="18"/>
        <v>-27047385.03076664</v>
      </c>
      <c r="K64" s="101">
        <f t="shared" si="18"/>
        <v>-30471323.070375171</v>
      </c>
    </row>
    <row r="65" spans="1:11" x14ac:dyDescent="0.2">
      <c r="A65" s="53" t="s">
        <v>217</v>
      </c>
      <c r="B65" s="101">
        <f>SUM(B52,B58,B64)</f>
        <v>46751116.199943662</v>
      </c>
      <c r="C65" s="101">
        <f t="shared" ref="C65:K65" si="19">SUM(C52,C58,C64)</f>
        <v>-1149660.3723582756</v>
      </c>
      <c r="D65" s="101">
        <f t="shared" si="19"/>
        <v>13576607.550409803</v>
      </c>
      <c r="E65" s="101">
        <f t="shared" si="19"/>
        <v>16325667.224093124</v>
      </c>
      <c r="F65" s="101">
        <f t="shared" si="19"/>
        <v>19487085.848828912</v>
      </c>
      <c r="G65" s="101">
        <f t="shared" si="19"/>
        <v>23179463.700075079</v>
      </c>
      <c r="H65" s="101">
        <f t="shared" si="19"/>
        <v>27360439.831288166</v>
      </c>
      <c r="I65" s="101">
        <f t="shared" si="19"/>
        <v>32168562.382183257</v>
      </c>
      <c r="J65" s="101">
        <f t="shared" si="19"/>
        <v>37697903.315712541</v>
      </c>
      <c r="K65" s="101">
        <f t="shared" si="19"/>
        <v>44056645.38927123</v>
      </c>
    </row>
    <row r="66" spans="1:11" x14ac:dyDescent="0.2">
      <c r="A66" s="53" t="s">
        <v>218</v>
      </c>
      <c r="B66" s="101">
        <v>0</v>
      </c>
      <c r="C66" s="101">
        <f>B67</f>
        <v>46751116.199943662</v>
      </c>
      <c r="D66" s="101">
        <f t="shared" ref="D66:K66" si="20">C67</f>
        <v>45601455.827585384</v>
      </c>
      <c r="E66" s="101">
        <f t="shared" si="20"/>
        <v>59178063.377995186</v>
      </c>
      <c r="F66" s="101">
        <f t="shared" si="20"/>
        <v>75503730.602088302</v>
      </c>
      <c r="G66" s="101">
        <f t="shared" si="20"/>
        <v>94990816.450917214</v>
      </c>
      <c r="H66" s="101">
        <f t="shared" si="20"/>
        <v>118170280.15099229</v>
      </c>
      <c r="I66" s="101">
        <f t="shared" si="20"/>
        <v>145530719.98228046</v>
      </c>
      <c r="J66" s="101">
        <f t="shared" si="20"/>
        <v>177699282.36446372</v>
      </c>
      <c r="K66" s="101">
        <f t="shared" si="20"/>
        <v>215397185.68017626</v>
      </c>
    </row>
    <row r="67" spans="1:11" x14ac:dyDescent="0.2">
      <c r="A67" s="53" t="s">
        <v>219</v>
      </c>
      <c r="B67" s="101">
        <f>SUM(B65:B66)</f>
        <v>46751116.199943662</v>
      </c>
      <c r="C67" s="101">
        <f>SUM(C65:C66)</f>
        <v>45601455.827585384</v>
      </c>
      <c r="D67" s="101">
        <f t="shared" ref="D67:K67" si="21">SUM(D65:D66)</f>
        <v>59178063.377995186</v>
      </c>
      <c r="E67" s="101">
        <f t="shared" si="21"/>
        <v>75503730.602088302</v>
      </c>
      <c r="F67" s="101">
        <f t="shared" si="21"/>
        <v>94990816.450917214</v>
      </c>
      <c r="G67" s="101">
        <f t="shared" si="21"/>
        <v>118170280.15099229</v>
      </c>
      <c r="H67" s="101">
        <f t="shared" si="21"/>
        <v>145530719.98228046</v>
      </c>
      <c r="I67" s="101">
        <f t="shared" si="21"/>
        <v>177699282.36446372</v>
      </c>
      <c r="J67" s="101">
        <f t="shared" si="21"/>
        <v>215397185.68017626</v>
      </c>
      <c r="K67" s="101">
        <f t="shared" si="21"/>
        <v>259453831.06944749</v>
      </c>
    </row>
    <row r="68" spans="1:11" x14ac:dyDescent="0.2">
      <c r="B68" s="46"/>
    </row>
  </sheetData>
  <mergeCells count="2">
    <mergeCell ref="B5:K5"/>
    <mergeCell ref="B39:K3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630A-94BE-3943-8656-DAA38D8103D6}">
  <sheetPr>
    <tabColor theme="9"/>
  </sheetPr>
  <dimension ref="A1:M33"/>
  <sheetViews>
    <sheetView topLeftCell="A2" workbookViewId="0">
      <selection activeCell="M28" sqref="M28"/>
    </sheetView>
  </sheetViews>
  <sheetFormatPr baseColWidth="10" defaultRowHeight="16" x14ac:dyDescent="0.2"/>
  <cols>
    <col min="1" max="1" width="41.6640625" bestFit="1" customWidth="1"/>
    <col min="2" max="12" width="14.83203125" bestFit="1" customWidth="1"/>
    <col min="13" max="13" width="15.5" bestFit="1" customWidth="1"/>
  </cols>
  <sheetData>
    <row r="1" spans="1:13" x14ac:dyDescent="0.2">
      <c r="A1" s="59" t="s">
        <v>230</v>
      </c>
    </row>
    <row r="2" spans="1:13" ht="17" thickBot="1" x14ac:dyDescent="0.2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7" thickBot="1" x14ac:dyDescent="0.25">
      <c r="A3" s="54" t="s">
        <v>196</v>
      </c>
      <c r="B3" s="145" t="s">
        <v>231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</row>
    <row r="4" spans="1:13" x14ac:dyDescent="0.2">
      <c r="A4" s="62"/>
      <c r="B4" s="61" t="s">
        <v>54</v>
      </c>
      <c r="C4" s="61" t="s">
        <v>55</v>
      </c>
      <c r="D4" s="61" t="s">
        <v>44</v>
      </c>
      <c r="E4" s="61" t="s">
        <v>45</v>
      </c>
      <c r="F4" s="61" t="s">
        <v>46</v>
      </c>
      <c r="G4" s="61" t="s">
        <v>47</v>
      </c>
      <c r="H4" s="61" t="s">
        <v>48</v>
      </c>
      <c r="I4" s="61" t="s">
        <v>49</v>
      </c>
      <c r="J4" s="61" t="s">
        <v>50</v>
      </c>
      <c r="K4" s="61" t="s">
        <v>51</v>
      </c>
      <c r="L4" s="61" t="s">
        <v>52</v>
      </c>
      <c r="M4" s="61" t="s">
        <v>53</v>
      </c>
    </row>
    <row r="5" spans="1:13" x14ac:dyDescent="0.2">
      <c r="A5" s="53" t="s">
        <v>197</v>
      </c>
    </row>
    <row r="6" spans="1:13" x14ac:dyDescent="0.2">
      <c r="A6" s="53" t="s">
        <v>198</v>
      </c>
      <c r="B6" s="101">
        <f>'2026 SOPL (Best Case Scenario)'!B31</f>
        <v>12225851.406631038</v>
      </c>
      <c r="C6" s="101">
        <f>'2026 SOPL (Best Case Scenario)'!C31</f>
        <v>10399019.741239369</v>
      </c>
      <c r="D6" s="101">
        <f>'2026 SOPL (Best Case Scenario)'!D31</f>
        <v>12466041.191239368</v>
      </c>
      <c r="E6" s="101">
        <f>'2026 SOPL (Best Case Scenario)'!E31</f>
        <v>11777034.04123937</v>
      </c>
      <c r="F6" s="101">
        <f>'2026 SOPL (Best Case Scenario)'!F31</f>
        <v>12466041.191239368</v>
      </c>
      <c r="G6" s="101">
        <f>'2026 SOPL (Best Case Scenario)'!G31</f>
        <v>11777034.04123937</v>
      </c>
      <c r="H6" s="101">
        <f>'2026 SOPL (Best Case Scenario)'!H31</f>
        <v>12466041.191239368</v>
      </c>
      <c r="I6" s="101">
        <f>'2026 SOPL (Best Case Scenario)'!I31</f>
        <v>12466041.191239368</v>
      </c>
      <c r="J6" s="101">
        <f>'2026 SOPL (Best Case Scenario)'!J31</f>
        <v>11777034.04123937</v>
      </c>
      <c r="K6" s="101">
        <f>'2026 SOPL (Best Case Scenario)'!K31</f>
        <v>12466041.191239368</v>
      </c>
      <c r="L6" s="101">
        <f>'2026 SOPL (Best Case Scenario)'!L31</f>
        <v>11777034.04123937</v>
      </c>
      <c r="M6" s="101">
        <f>'2026 SOPL (Best Case Scenario)'!M31</f>
        <v>12466041.191239368</v>
      </c>
    </row>
    <row r="7" spans="1:13" x14ac:dyDescent="0.2">
      <c r="A7" t="s">
        <v>199</v>
      </c>
      <c r="B7" s="46">
        <f>SUM(B8:B13)</f>
        <v>47519.569437712838</v>
      </c>
      <c r="C7" s="46">
        <f t="shared" ref="C7:L7" si="0">SUM(C8:C13)</f>
        <v>47519.569437712838</v>
      </c>
      <c r="D7" s="46">
        <f t="shared" si="0"/>
        <v>47519.569437712838</v>
      </c>
      <c r="E7" s="46">
        <f t="shared" si="0"/>
        <v>47519.569437712838</v>
      </c>
      <c r="F7" s="46">
        <f t="shared" si="0"/>
        <v>47519.569437712838</v>
      </c>
      <c r="G7" s="46">
        <f t="shared" si="0"/>
        <v>47519.569437712838</v>
      </c>
      <c r="H7" s="46">
        <f t="shared" si="0"/>
        <v>47519.569437712838</v>
      </c>
      <c r="I7" s="46">
        <f t="shared" si="0"/>
        <v>47519.569437712838</v>
      </c>
      <c r="J7" s="46">
        <f t="shared" si="0"/>
        <v>47519.569437712838</v>
      </c>
      <c r="K7" s="46">
        <f t="shared" si="0"/>
        <v>47519.569437712838</v>
      </c>
      <c r="L7" s="46">
        <f t="shared" si="0"/>
        <v>47519.569437712838</v>
      </c>
      <c r="M7" s="46">
        <f>SUM(M8:M13)</f>
        <v>47519.569437712838</v>
      </c>
    </row>
    <row r="8" spans="1:13" x14ac:dyDescent="0.2">
      <c r="A8" t="s">
        <v>200</v>
      </c>
      <c r="B8" s="46">
        <f>'2026 SOPL (Best Case Scenario)'!B20</f>
        <v>18622.516666666666</v>
      </c>
      <c r="C8" s="46">
        <f>'2026 SOPL (Best Case Scenario)'!C20</f>
        <v>18622.516666666666</v>
      </c>
      <c r="D8" s="46">
        <f>'2026 SOPL (Best Case Scenario)'!D20</f>
        <v>18622.516666666666</v>
      </c>
      <c r="E8" s="46">
        <f>'2026 SOPL (Best Case Scenario)'!E20</f>
        <v>18622.516666666666</v>
      </c>
      <c r="F8" s="46">
        <f>'2026 SOPL (Best Case Scenario)'!F20</f>
        <v>18622.516666666666</v>
      </c>
      <c r="G8" s="46">
        <f>'2026 SOPL (Best Case Scenario)'!G20</f>
        <v>18622.516666666666</v>
      </c>
      <c r="H8" s="46">
        <f>'2026 SOPL (Best Case Scenario)'!H20</f>
        <v>18622.516666666666</v>
      </c>
      <c r="I8" s="46">
        <f>'2026 SOPL (Best Case Scenario)'!I20</f>
        <v>18622.516666666666</v>
      </c>
      <c r="J8" s="46">
        <f>'2026 SOPL (Best Case Scenario)'!J20</f>
        <v>18622.516666666666</v>
      </c>
      <c r="K8" s="46">
        <f>'2026 SOPL (Best Case Scenario)'!K20</f>
        <v>18622.516666666666</v>
      </c>
      <c r="L8" s="46">
        <f>'2026 SOPL (Best Case Scenario)'!L20</f>
        <v>18622.516666666666</v>
      </c>
      <c r="M8" s="46">
        <f>'2026 SOPL (Best Case Scenario)'!M20</f>
        <v>18622.516666666666</v>
      </c>
    </row>
    <row r="9" spans="1:13" x14ac:dyDescent="0.2">
      <c r="A9" t="s">
        <v>201</v>
      </c>
      <c r="B9" s="46">
        <f>-'2026 SOPL (Best Case Scenario)'!B30</f>
        <v>28897.052771046176</v>
      </c>
      <c r="C9" s="46">
        <f>-'2026 SOPL (Best Case Scenario)'!C30</f>
        <v>28897.052771046176</v>
      </c>
      <c r="D9" s="46">
        <f>-'2026 SOPL (Best Case Scenario)'!D30</f>
        <v>28897.052771046176</v>
      </c>
      <c r="E9" s="46">
        <f>-'2026 SOPL (Best Case Scenario)'!E30</f>
        <v>28897.052771046176</v>
      </c>
      <c r="F9" s="46">
        <f>-'2026 SOPL (Best Case Scenario)'!F30</f>
        <v>28897.052771046176</v>
      </c>
      <c r="G9" s="46">
        <f>-'2026 SOPL (Best Case Scenario)'!G30</f>
        <v>28897.052771046176</v>
      </c>
      <c r="H9" s="46">
        <f>-'2026 SOPL (Best Case Scenario)'!H30</f>
        <v>28897.052771046176</v>
      </c>
      <c r="I9" s="46">
        <f>-'2026 SOPL (Best Case Scenario)'!I30</f>
        <v>28897.052771046176</v>
      </c>
      <c r="J9" s="46">
        <f>-'2026 SOPL (Best Case Scenario)'!J30</f>
        <v>28897.052771046176</v>
      </c>
      <c r="K9" s="46">
        <f>-'2026 SOPL (Best Case Scenario)'!K30</f>
        <v>28897.052771046176</v>
      </c>
      <c r="L9" s="46">
        <f>-'2026 SOPL (Best Case Scenario)'!L30</f>
        <v>28897.052771046176</v>
      </c>
      <c r="M9" s="46">
        <f>-'2026 SOPL (Best Case Scenario)'!M30</f>
        <v>28897.052771046176</v>
      </c>
    </row>
    <row r="10" spans="1:13" x14ac:dyDescent="0.2">
      <c r="A10" t="s">
        <v>202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</row>
    <row r="11" spans="1:13" x14ac:dyDescent="0.2">
      <c r="A11" t="s">
        <v>203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</row>
    <row r="12" spans="1:13" x14ac:dyDescent="0.2">
      <c r="A12" t="s">
        <v>204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</row>
    <row r="13" spans="1:13" x14ac:dyDescent="0.2">
      <c r="A13" t="s">
        <v>205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</row>
    <row r="14" spans="1:13" x14ac:dyDescent="0.2">
      <c r="A14" s="53" t="s">
        <v>206</v>
      </c>
      <c r="B14" s="101">
        <f>SUM(B6:B7)</f>
        <v>12273370.97606875</v>
      </c>
      <c r="C14" s="101">
        <f t="shared" ref="C14:M14" si="1">SUM(C6:C7)</f>
        <v>10446539.310677081</v>
      </c>
      <c r="D14" s="101">
        <f t="shared" si="1"/>
        <v>12513560.760677081</v>
      </c>
      <c r="E14" s="101">
        <f t="shared" si="1"/>
        <v>11824553.610677082</v>
      </c>
      <c r="F14" s="101">
        <f t="shared" si="1"/>
        <v>12513560.760677081</v>
      </c>
      <c r="G14" s="101">
        <f t="shared" si="1"/>
        <v>11824553.610677082</v>
      </c>
      <c r="H14" s="101">
        <f t="shared" si="1"/>
        <v>12513560.760677081</v>
      </c>
      <c r="I14" s="101">
        <f t="shared" si="1"/>
        <v>12513560.760677081</v>
      </c>
      <c r="J14" s="101">
        <f t="shared" si="1"/>
        <v>11824553.610677082</v>
      </c>
      <c r="K14" s="101">
        <f t="shared" si="1"/>
        <v>12513560.760677081</v>
      </c>
      <c r="L14" s="101">
        <f t="shared" si="1"/>
        <v>11824553.610677082</v>
      </c>
      <c r="M14" s="101">
        <f t="shared" si="1"/>
        <v>12513560.760677081</v>
      </c>
    </row>
    <row r="15" spans="1:13" x14ac:dyDescent="0.2">
      <c r="A15" t="s">
        <v>201</v>
      </c>
      <c r="B15" s="46">
        <f>'2026 SOPL (Best Case Scenario)'!B30</f>
        <v>-28897.052771046176</v>
      </c>
      <c r="C15" s="46">
        <f>'2026 SOPL (Best Case Scenario)'!C30</f>
        <v>-28897.052771046176</v>
      </c>
      <c r="D15" s="46">
        <f>'2026 SOPL (Best Case Scenario)'!D30</f>
        <v>-28897.052771046176</v>
      </c>
      <c r="E15" s="46">
        <f>'2026 SOPL (Best Case Scenario)'!E30</f>
        <v>-28897.052771046176</v>
      </c>
      <c r="F15" s="46">
        <f>'2026 SOPL (Best Case Scenario)'!F30</f>
        <v>-28897.052771046176</v>
      </c>
      <c r="G15" s="46">
        <f>'2026 SOPL (Best Case Scenario)'!G30</f>
        <v>-28897.052771046176</v>
      </c>
      <c r="H15" s="46">
        <f>'2026 SOPL (Best Case Scenario)'!H30</f>
        <v>-28897.052771046176</v>
      </c>
      <c r="I15" s="46">
        <f>'2026 SOPL (Best Case Scenario)'!I30</f>
        <v>-28897.052771046176</v>
      </c>
      <c r="J15" s="46">
        <f>'2026 SOPL (Best Case Scenario)'!J30</f>
        <v>-28897.052771046176</v>
      </c>
      <c r="K15" s="46">
        <f>'2026 SOPL (Best Case Scenario)'!K30</f>
        <v>-28897.052771046176</v>
      </c>
      <c r="L15" s="46">
        <f>'2026 SOPL (Best Case Scenario)'!L30</f>
        <v>-28897.052771046176</v>
      </c>
      <c r="M15" s="46">
        <f>'2026 SOPL (Best Case Scenario)'!M30</f>
        <v>-28897.052771046176</v>
      </c>
    </row>
    <row r="16" spans="1:13" x14ac:dyDescent="0.2">
      <c r="A16" t="s">
        <v>207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f>-'Projected BS'!B24*35%</f>
        <v>-36927224.51459749</v>
      </c>
    </row>
    <row r="17" spans="1:13" x14ac:dyDescent="0.2">
      <c r="A17" t="s">
        <v>208</v>
      </c>
      <c r="B17" s="46">
        <f>'2026 SOPL (Best Case Scenario)'!B32</f>
        <v>-3300979.8797903806</v>
      </c>
      <c r="C17" s="46">
        <f>'2026 SOPL (Best Case Scenario)'!C32</f>
        <v>-2807735.3301346297</v>
      </c>
      <c r="D17" s="46">
        <f>'2026 SOPL (Best Case Scenario)'!D32</f>
        <v>-3365831.1216346296</v>
      </c>
      <c r="E17" s="46">
        <f>'2026 SOPL (Best Case Scenario)'!E32</f>
        <v>-3179799.1911346302</v>
      </c>
      <c r="F17" s="46">
        <f>'2026 SOPL (Best Case Scenario)'!F32</f>
        <v>-3365831.1216346296</v>
      </c>
      <c r="G17" s="46">
        <f>'2026 SOPL (Best Case Scenario)'!G32</f>
        <v>-3179799.1911346302</v>
      </c>
      <c r="H17" s="46">
        <f>'2026 SOPL (Best Case Scenario)'!H32</f>
        <v>-3365831.1216346296</v>
      </c>
      <c r="I17" s="46">
        <f>'2026 SOPL (Best Case Scenario)'!I32</f>
        <v>-3365831.1216346296</v>
      </c>
      <c r="J17" s="46">
        <f>'2026 SOPL (Best Case Scenario)'!J32</f>
        <v>-3179799.1911346302</v>
      </c>
      <c r="K17" s="46">
        <f>'2026 SOPL (Best Case Scenario)'!K32</f>
        <v>-3365831.1216346296</v>
      </c>
      <c r="L17" s="46">
        <f>'2026 SOPL (Best Case Scenario)'!L32</f>
        <v>-3179799.1911346302</v>
      </c>
      <c r="M17" s="46">
        <f>'2026 SOPL (Best Case Scenario)'!M32</f>
        <v>-3365831.1216346296</v>
      </c>
    </row>
    <row r="18" spans="1:13" x14ac:dyDescent="0.2">
      <c r="A18" s="53" t="s">
        <v>209</v>
      </c>
      <c r="B18" s="101">
        <f>SUM(B14:B17)</f>
        <v>8943494.0435073227</v>
      </c>
      <c r="C18" s="101">
        <f t="shared" ref="C18:L18" si="2">SUM(C14:C17)</f>
        <v>7609906.9277714044</v>
      </c>
      <c r="D18" s="101">
        <f t="shared" si="2"/>
        <v>9118832.5862714052</v>
      </c>
      <c r="E18" s="101">
        <f t="shared" si="2"/>
        <v>8615857.3667714056</v>
      </c>
      <c r="F18" s="101">
        <f t="shared" si="2"/>
        <v>9118832.5862714052</v>
      </c>
      <c r="G18" s="101">
        <f t="shared" si="2"/>
        <v>8615857.3667714056</v>
      </c>
      <c r="H18" s="101">
        <f t="shared" si="2"/>
        <v>9118832.5862714052</v>
      </c>
      <c r="I18" s="101">
        <f t="shared" si="2"/>
        <v>9118832.5862714052</v>
      </c>
      <c r="J18" s="101">
        <f t="shared" si="2"/>
        <v>8615857.3667714056</v>
      </c>
      <c r="K18" s="101">
        <f t="shared" si="2"/>
        <v>9118832.5862714052</v>
      </c>
      <c r="L18" s="101">
        <f t="shared" si="2"/>
        <v>8615857.3667714056</v>
      </c>
      <c r="M18" s="101">
        <f>SUM(M14:M17)</f>
        <v>-27808391.928326085</v>
      </c>
    </row>
    <row r="19" spans="1:13" x14ac:dyDescent="0.2">
      <c r="A19" s="53" t="s">
        <v>210</v>
      </c>
    </row>
    <row r="20" spans="1:13" x14ac:dyDescent="0.2">
      <c r="A20" t="s">
        <v>299</v>
      </c>
      <c r="B20" s="46">
        <f>-'Projected BS'!$C$51/12</f>
        <v>-34190.066666666673</v>
      </c>
      <c r="C20" s="46">
        <f>-'Projected BS'!$C$51/12</f>
        <v>-34190.066666666673</v>
      </c>
      <c r="D20" s="46">
        <f>-'Projected BS'!$C$51/12</f>
        <v>-34190.066666666673</v>
      </c>
      <c r="E20" s="46">
        <f>-'Projected BS'!$C$51/12</f>
        <v>-34190.066666666673</v>
      </c>
      <c r="F20" s="46">
        <f>-'Projected BS'!$C$51/12</f>
        <v>-34190.066666666673</v>
      </c>
      <c r="G20" s="46">
        <f>-'Projected BS'!$C$51/12</f>
        <v>-34190.066666666673</v>
      </c>
      <c r="H20" s="46">
        <f>-'Projected BS'!$C$51/12</f>
        <v>-34190.066666666673</v>
      </c>
      <c r="I20" s="46">
        <f>-'Projected BS'!$C$51/12</f>
        <v>-34190.066666666673</v>
      </c>
      <c r="J20" s="46">
        <f>-'Projected BS'!$C$51/12</f>
        <v>-34190.066666666673</v>
      </c>
      <c r="K20" s="46">
        <f>-'Projected BS'!$C$51/12</f>
        <v>-34190.066666666673</v>
      </c>
      <c r="L20" s="46">
        <f>-'Projected BS'!$C$51/12</f>
        <v>-34190.066666666673</v>
      </c>
      <c r="M20" s="46">
        <f>-'Projected BS'!$C$51/12</f>
        <v>-34190.066666666673</v>
      </c>
    </row>
    <row r="21" spans="1:13" x14ac:dyDescent="0.2">
      <c r="A21" t="s">
        <v>300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 x14ac:dyDescent="0.2">
      <c r="A22" t="s">
        <v>302</v>
      </c>
      <c r="B22" s="46">
        <f>'Projected BS'!$B$12</f>
        <v>0</v>
      </c>
      <c r="C22" s="46">
        <f>'Projected BS'!$B$12</f>
        <v>0</v>
      </c>
      <c r="D22" s="46">
        <f>'Projected BS'!$B$12</f>
        <v>0</v>
      </c>
      <c r="E22" s="46">
        <f>'Projected BS'!$B$12</f>
        <v>0</v>
      </c>
      <c r="F22" s="46">
        <f>'Projected BS'!$B$12</f>
        <v>0</v>
      </c>
      <c r="G22" s="46">
        <f>'Projected BS'!$B$12</f>
        <v>0</v>
      </c>
      <c r="H22" s="46">
        <f>'Projected BS'!$B$12</f>
        <v>0</v>
      </c>
      <c r="I22" s="46">
        <f>'Projected BS'!$B$12</f>
        <v>0</v>
      </c>
      <c r="J22" s="46">
        <f>'Projected BS'!$B$12</f>
        <v>0</v>
      </c>
      <c r="K22" s="46">
        <f>'Projected BS'!$B$12</f>
        <v>0</v>
      </c>
      <c r="L22" s="46">
        <f>'Projected BS'!$B$12</f>
        <v>0</v>
      </c>
      <c r="M22" s="46">
        <f>'Projected BS'!$B$12</f>
        <v>0</v>
      </c>
    </row>
    <row r="23" spans="1:13" x14ac:dyDescent="0.2">
      <c r="A23" t="s">
        <v>211</v>
      </c>
      <c r="B23" s="49">
        <f>-'Projected BS'!C57</f>
        <v>-1117351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</row>
    <row r="24" spans="1:13" x14ac:dyDescent="0.2">
      <c r="A24" s="53" t="s">
        <v>212</v>
      </c>
      <c r="B24" s="101">
        <f>SUM(B20:B23)</f>
        <v>-1151541.0666666667</v>
      </c>
      <c r="C24" s="46">
        <f t="shared" ref="C24:M24" si="3">SUM(C20:C23)</f>
        <v>-34190.066666666673</v>
      </c>
      <c r="D24" s="46">
        <f t="shared" si="3"/>
        <v>-34190.066666666673</v>
      </c>
      <c r="E24" s="46">
        <f t="shared" si="3"/>
        <v>-34190.066666666673</v>
      </c>
      <c r="F24" s="46">
        <f t="shared" si="3"/>
        <v>-34190.066666666673</v>
      </c>
      <c r="G24" s="46">
        <f t="shared" si="3"/>
        <v>-34190.066666666673</v>
      </c>
      <c r="H24" s="46">
        <f t="shared" si="3"/>
        <v>-34190.066666666673</v>
      </c>
      <c r="I24" s="46">
        <f t="shared" si="3"/>
        <v>-34190.066666666673</v>
      </c>
      <c r="J24" s="46">
        <f t="shared" si="3"/>
        <v>-34190.066666666673</v>
      </c>
      <c r="K24" s="46">
        <f t="shared" si="3"/>
        <v>-34190.066666666673</v>
      </c>
      <c r="L24" s="46">
        <f t="shared" si="3"/>
        <v>-34190.066666666673</v>
      </c>
      <c r="M24" s="46">
        <f t="shared" si="3"/>
        <v>-34190.066666666673</v>
      </c>
    </row>
    <row r="25" spans="1:13" x14ac:dyDescent="0.2">
      <c r="A25" s="53" t="s">
        <v>213</v>
      </c>
    </row>
    <row r="26" spans="1:13" x14ac:dyDescent="0.2">
      <c r="A26" t="s">
        <v>214</v>
      </c>
      <c r="B26" s="46">
        <v>100000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</row>
    <row r="27" spans="1:13" x14ac:dyDescent="0.2">
      <c r="A27" t="s">
        <v>207</v>
      </c>
      <c r="B27" s="4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>
        <f>'Projected BS'!B23</f>
        <v>-36927224.51459749</v>
      </c>
    </row>
    <row r="28" spans="1:13" x14ac:dyDescent="0.2">
      <c r="A28" t="s">
        <v>215</v>
      </c>
      <c r="B28" s="46">
        <f>'Projected BS'!C69</f>
        <v>70537251.829027981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</row>
    <row r="29" spans="1:13" x14ac:dyDescent="0.2">
      <c r="A29" t="s">
        <v>216</v>
      </c>
      <c r="B29" s="46">
        <f>-'Projected BS'!$C$76</f>
        <v>-587810.4319085665</v>
      </c>
      <c r="C29" s="46">
        <f>-'Projected BS'!$C$76</f>
        <v>-587810.4319085665</v>
      </c>
      <c r="D29" s="46">
        <f>-'Projected BS'!$C$76</f>
        <v>-587810.4319085665</v>
      </c>
      <c r="E29" s="46">
        <f>-'Projected BS'!$C$76</f>
        <v>-587810.4319085665</v>
      </c>
      <c r="F29" s="46">
        <f>-'Projected BS'!$C$76</f>
        <v>-587810.4319085665</v>
      </c>
      <c r="G29" s="46">
        <f>-'Projected BS'!$C$76</f>
        <v>-587810.4319085665</v>
      </c>
      <c r="H29" s="46">
        <f>-'Projected BS'!$C$76</f>
        <v>-587810.4319085665</v>
      </c>
      <c r="I29" s="46">
        <f>-'Projected BS'!$C$76</f>
        <v>-587810.4319085665</v>
      </c>
      <c r="J29" s="46">
        <f>-'Projected BS'!$C$76</f>
        <v>-587810.4319085665</v>
      </c>
      <c r="K29" s="46">
        <f>-'Projected BS'!$C$76</f>
        <v>-587810.4319085665</v>
      </c>
      <c r="L29" s="46">
        <f>-'Projected BS'!$C$76</f>
        <v>-587810.4319085665</v>
      </c>
      <c r="M29" s="46">
        <f>-'Projected BS'!$C$76</f>
        <v>-587810.4319085665</v>
      </c>
    </row>
    <row r="30" spans="1:13" x14ac:dyDescent="0.2">
      <c r="A30" s="53" t="s">
        <v>301</v>
      </c>
      <c r="B30" s="101">
        <f>SUM(B26:B29)</f>
        <v>70049441.397119418</v>
      </c>
      <c r="C30" s="101">
        <f>SUM(C26:C29)</f>
        <v>-587810.4319085665</v>
      </c>
      <c r="D30" s="101">
        <f t="shared" ref="D30:L30" si="4">SUM(D26:D29)</f>
        <v>-587810.4319085665</v>
      </c>
      <c r="E30" s="101">
        <f t="shared" si="4"/>
        <v>-587810.4319085665</v>
      </c>
      <c r="F30" s="101">
        <f t="shared" si="4"/>
        <v>-587810.4319085665</v>
      </c>
      <c r="G30" s="101">
        <f t="shared" si="4"/>
        <v>-587810.4319085665</v>
      </c>
      <c r="H30" s="101">
        <f t="shared" si="4"/>
        <v>-587810.4319085665</v>
      </c>
      <c r="I30" s="101">
        <f t="shared" si="4"/>
        <v>-587810.4319085665</v>
      </c>
      <c r="J30" s="101">
        <f t="shared" si="4"/>
        <v>-587810.4319085665</v>
      </c>
      <c r="K30" s="101">
        <f t="shared" si="4"/>
        <v>-587810.4319085665</v>
      </c>
      <c r="L30" s="101">
        <f t="shared" si="4"/>
        <v>-587810.4319085665</v>
      </c>
      <c r="M30" s="101">
        <f>SUM(M26:M29)</f>
        <v>-37515034.946506053</v>
      </c>
    </row>
    <row r="31" spans="1:13" x14ac:dyDescent="0.2">
      <c r="A31" s="53" t="s">
        <v>217</v>
      </c>
      <c r="B31" s="101">
        <f>SUM(B18,B24,B30)</f>
        <v>77841394.373960078</v>
      </c>
      <c r="C31" s="101">
        <f t="shared" ref="C31:L31" si="5">SUM(C18,C24,C30)</f>
        <v>6987906.4291961715</v>
      </c>
      <c r="D31" s="101">
        <f t="shared" si="5"/>
        <v>8496832.0876961723</v>
      </c>
      <c r="E31" s="101">
        <f t="shared" si="5"/>
        <v>7993856.8681961726</v>
      </c>
      <c r="F31" s="101">
        <f t="shared" si="5"/>
        <v>8496832.0876961723</v>
      </c>
      <c r="G31" s="101">
        <f t="shared" si="5"/>
        <v>7993856.8681961726</v>
      </c>
      <c r="H31" s="101">
        <f t="shared" si="5"/>
        <v>8496832.0876961723</v>
      </c>
      <c r="I31" s="101">
        <f t="shared" si="5"/>
        <v>8496832.0876961723</v>
      </c>
      <c r="J31" s="101">
        <f t="shared" si="5"/>
        <v>7993856.8681961726</v>
      </c>
      <c r="K31" s="101">
        <f t="shared" si="5"/>
        <v>8496832.0876961723</v>
      </c>
      <c r="L31" s="101">
        <f t="shared" si="5"/>
        <v>7993856.8681961726</v>
      </c>
      <c r="M31" s="101">
        <f>SUM(M18,M24,M30)</f>
        <v>-65357616.941498801</v>
      </c>
    </row>
    <row r="32" spans="1:13" x14ac:dyDescent="0.2">
      <c r="A32" s="53" t="s">
        <v>218</v>
      </c>
      <c r="B32" s="13">
        <v>0</v>
      </c>
      <c r="C32" s="101">
        <f>B33</f>
        <v>77841394.373960078</v>
      </c>
      <c r="D32" s="101">
        <f t="shared" ref="D32:M32" si="6">C33</f>
        <v>84829300.803156257</v>
      </c>
      <c r="E32" s="101">
        <f t="shared" si="6"/>
        <v>93326132.890852422</v>
      </c>
      <c r="F32" s="101">
        <f t="shared" si="6"/>
        <v>101319989.7590486</v>
      </c>
      <c r="G32" s="101">
        <f t="shared" si="6"/>
        <v>109816821.84674478</v>
      </c>
      <c r="H32" s="101">
        <f t="shared" si="6"/>
        <v>117810678.71494095</v>
      </c>
      <c r="I32" s="101">
        <f t="shared" si="6"/>
        <v>126307510.80263713</v>
      </c>
      <c r="J32" s="101">
        <f t="shared" si="6"/>
        <v>134804342.89033329</v>
      </c>
      <c r="K32" s="101">
        <f t="shared" si="6"/>
        <v>142798199.75852945</v>
      </c>
      <c r="L32" s="101">
        <f>K33</f>
        <v>151295031.84622562</v>
      </c>
      <c r="M32" s="101">
        <f t="shared" si="6"/>
        <v>159288888.71442178</v>
      </c>
    </row>
    <row r="33" spans="1:13" x14ac:dyDescent="0.2">
      <c r="A33" s="53" t="s">
        <v>219</v>
      </c>
      <c r="B33" s="101">
        <f>SUM(B31:B32)</f>
        <v>77841394.373960078</v>
      </c>
      <c r="C33" s="101">
        <f>SUM(C31:C32)</f>
        <v>84829300.803156257</v>
      </c>
      <c r="D33" s="101">
        <f t="shared" ref="D33:G33" si="7">SUM(D31:D32)</f>
        <v>93326132.890852422</v>
      </c>
      <c r="E33" s="101">
        <f t="shared" si="7"/>
        <v>101319989.7590486</v>
      </c>
      <c r="F33" s="101">
        <f t="shared" si="7"/>
        <v>109816821.84674478</v>
      </c>
      <c r="G33" s="101">
        <f t="shared" si="7"/>
        <v>117810678.71494095</v>
      </c>
      <c r="H33" s="101">
        <f>SUM(H31:H32)</f>
        <v>126307510.80263713</v>
      </c>
      <c r="I33" s="101">
        <f t="shared" ref="I33" si="8">SUM(I31:I32)</f>
        <v>134804342.89033329</v>
      </c>
      <c r="J33" s="101">
        <f t="shared" ref="J33" si="9">SUM(J31:J32)</f>
        <v>142798199.75852945</v>
      </c>
      <c r="K33" s="101">
        <f>SUM(K31:K32)</f>
        <v>151295031.84622562</v>
      </c>
      <c r="L33" s="101">
        <f t="shared" ref="L33" si="10">SUM(L31:L32)</f>
        <v>159288888.71442178</v>
      </c>
      <c r="M33" s="101">
        <f>SUM(M31:M32)</f>
        <v>93931271.772922978</v>
      </c>
    </row>
  </sheetData>
  <mergeCells count="1">
    <mergeCell ref="B3:M3"/>
  </mergeCells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8336-E99F-3D42-902D-C311E49591CD}">
  <sheetPr>
    <tabColor theme="9"/>
  </sheetPr>
  <dimension ref="A1:M30"/>
  <sheetViews>
    <sheetView workbookViewId="0">
      <selection activeCell="M25" sqref="M25"/>
    </sheetView>
  </sheetViews>
  <sheetFormatPr baseColWidth="10" defaultRowHeight="16" x14ac:dyDescent="0.2"/>
  <cols>
    <col min="1" max="1" width="43" bestFit="1" customWidth="1"/>
    <col min="2" max="2" width="14.5" bestFit="1" customWidth="1"/>
    <col min="3" max="7" width="12.33203125" bestFit="1" customWidth="1"/>
    <col min="8" max="12" width="12" bestFit="1" customWidth="1"/>
    <col min="13" max="13" width="15.5" bestFit="1" customWidth="1"/>
  </cols>
  <sheetData>
    <row r="1" spans="1:13" x14ac:dyDescent="0.2">
      <c r="A1" s="59" t="s">
        <v>232</v>
      </c>
    </row>
    <row r="2" spans="1:13" ht="17" thickBot="1" x14ac:dyDescent="0.2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7" thickBot="1" x14ac:dyDescent="0.25">
      <c r="A3" s="54" t="s">
        <v>196</v>
      </c>
      <c r="B3" s="145" t="s">
        <v>231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</row>
    <row r="4" spans="1:13" x14ac:dyDescent="0.2">
      <c r="A4" s="62"/>
      <c r="B4" s="61" t="s">
        <v>54</v>
      </c>
      <c r="C4" s="61" t="s">
        <v>55</v>
      </c>
      <c r="D4" s="61" t="s">
        <v>44</v>
      </c>
      <c r="E4" s="61" t="s">
        <v>45</v>
      </c>
      <c r="F4" s="61" t="s">
        <v>46</v>
      </c>
      <c r="G4" s="61" t="s">
        <v>47</v>
      </c>
      <c r="H4" s="61" t="s">
        <v>48</v>
      </c>
      <c r="I4" s="61" t="s">
        <v>49</v>
      </c>
      <c r="J4" s="61" t="s">
        <v>50</v>
      </c>
      <c r="K4" s="61" t="s">
        <v>51</v>
      </c>
      <c r="L4" s="61" t="s">
        <v>52</v>
      </c>
      <c r="M4" s="61" t="s">
        <v>53</v>
      </c>
    </row>
    <row r="5" spans="1:13" x14ac:dyDescent="0.2">
      <c r="A5" s="53" t="s">
        <v>197</v>
      </c>
    </row>
    <row r="6" spans="1:13" x14ac:dyDescent="0.2">
      <c r="A6" s="53" t="s">
        <v>198</v>
      </c>
      <c r="B6" s="101">
        <f>'2026 SOPL (Worst Case Scenario)'!B32</f>
        <v>2464016.2412392432</v>
      </c>
      <c r="C6" s="101">
        <f>'2026 SOPL (Worst Case Scenario)'!C32</f>
        <v>1908325.5481890198</v>
      </c>
      <c r="D6" s="101">
        <f>'2026 SOPL (Worst Case Scenario)'!D32</f>
        <v>2559869.2981890198</v>
      </c>
      <c r="E6" s="101">
        <f>'2026 SOPL (Worst Case Scenario)'!E32</f>
        <v>2342688.0481890198</v>
      </c>
      <c r="F6" s="101">
        <f>'2026 SOPL (Worst Case Scenario)'!F32</f>
        <v>2559869.2981890198</v>
      </c>
      <c r="G6" s="101">
        <f>'2026 SOPL (Worst Case Scenario)'!G32</f>
        <v>2342688.0481890198</v>
      </c>
      <c r="H6" s="101">
        <f>'2026 SOPL (Worst Case Scenario)'!H32</f>
        <v>2559869.2981890198</v>
      </c>
      <c r="I6" s="101">
        <f>'2026 SOPL (Worst Case Scenario)'!I32</f>
        <v>2559869.2981890198</v>
      </c>
      <c r="J6" s="101">
        <f>'2026 SOPL (Worst Case Scenario)'!J32</f>
        <v>2342688.0481890198</v>
      </c>
      <c r="K6" s="101">
        <f>'2026 SOPL (Worst Case Scenario)'!K32</f>
        <v>2559869.2981890198</v>
      </c>
      <c r="L6" s="101">
        <f>'2026 SOPL (Worst Case Scenario)'!L32</f>
        <v>2342688.0481890198</v>
      </c>
      <c r="M6" s="101">
        <f>'2026 SOPL (Worst Case Scenario)'!M32</f>
        <v>2559869.2981890198</v>
      </c>
    </row>
    <row r="7" spans="1:13" x14ac:dyDescent="0.2">
      <c r="A7" t="s">
        <v>199</v>
      </c>
      <c r="B7" s="46">
        <f>SUM(B8:B10)</f>
        <v>24418.785689019729</v>
      </c>
      <c r="C7" s="46">
        <f t="shared" ref="C7:L7" si="0">SUM(C8:C10)</f>
        <v>24418.785689019729</v>
      </c>
      <c r="D7" s="46">
        <f t="shared" si="0"/>
        <v>24418.785689019729</v>
      </c>
      <c r="E7" s="46">
        <f t="shared" si="0"/>
        <v>24418.785689019729</v>
      </c>
      <c r="F7" s="46">
        <f t="shared" si="0"/>
        <v>24418.785689019729</v>
      </c>
      <c r="G7" s="46">
        <f t="shared" si="0"/>
        <v>24418.785689019729</v>
      </c>
      <c r="H7" s="46">
        <f t="shared" si="0"/>
        <v>24418.785689019729</v>
      </c>
      <c r="I7" s="46">
        <f t="shared" si="0"/>
        <v>24418.785689019729</v>
      </c>
      <c r="J7" s="46">
        <f t="shared" si="0"/>
        <v>24418.785689019729</v>
      </c>
      <c r="K7" s="46">
        <f t="shared" si="0"/>
        <v>24418.785689019729</v>
      </c>
      <c r="L7" s="46">
        <f t="shared" si="0"/>
        <v>24418.785689019729</v>
      </c>
      <c r="M7" s="46">
        <f>SUM(M8:M10)</f>
        <v>24418.785689019729</v>
      </c>
    </row>
    <row r="8" spans="1:13" x14ac:dyDescent="0.2">
      <c r="A8" t="s">
        <v>200</v>
      </c>
      <c r="B8" s="46">
        <f>'2026 SOPL (Worst Case Scenario)'!B20</f>
        <v>8998.8000000000011</v>
      </c>
      <c r="C8" s="46">
        <f>'2026 SOPL (Worst Case Scenario)'!C20</f>
        <v>8998.8000000000011</v>
      </c>
      <c r="D8" s="46">
        <f>'2026 SOPL (Worst Case Scenario)'!D20</f>
        <v>8998.8000000000011</v>
      </c>
      <c r="E8" s="46">
        <f>'2026 SOPL (Worst Case Scenario)'!E20</f>
        <v>8998.8000000000011</v>
      </c>
      <c r="F8" s="46">
        <f>'2026 SOPL (Worst Case Scenario)'!F20</f>
        <v>8998.8000000000011</v>
      </c>
      <c r="G8" s="46">
        <f>'2026 SOPL (Worst Case Scenario)'!G20</f>
        <v>8998.8000000000011</v>
      </c>
      <c r="H8" s="46">
        <f>'2026 SOPL (Worst Case Scenario)'!H20</f>
        <v>8998.8000000000011</v>
      </c>
      <c r="I8" s="46">
        <f>'2026 SOPL (Worst Case Scenario)'!I20</f>
        <v>8998.8000000000011</v>
      </c>
      <c r="J8" s="46">
        <f>'2026 SOPL (Worst Case Scenario)'!J20</f>
        <v>8998.8000000000011</v>
      </c>
      <c r="K8" s="46">
        <f>'2026 SOPL (Worst Case Scenario)'!K20</f>
        <v>8998.8000000000011</v>
      </c>
      <c r="L8" s="46">
        <f>'2026 SOPL (Worst Case Scenario)'!L20</f>
        <v>8998.8000000000011</v>
      </c>
      <c r="M8" s="46">
        <f>'2026 SOPL (Worst Case Scenario)'!M20</f>
        <v>8998.8000000000011</v>
      </c>
    </row>
    <row r="9" spans="1:13" x14ac:dyDescent="0.2">
      <c r="A9" t="s">
        <v>201</v>
      </c>
      <c r="B9" s="46">
        <f>'2026 SOPL (Worst Case Scenario)'!B31</f>
        <v>15419.985689019726</v>
      </c>
      <c r="C9" s="46">
        <f>'2026 SOPL (Worst Case Scenario)'!C31</f>
        <v>15419.985689019726</v>
      </c>
      <c r="D9" s="46">
        <f>'2026 SOPL (Worst Case Scenario)'!D31</f>
        <v>15419.985689019726</v>
      </c>
      <c r="E9" s="46">
        <f>'2026 SOPL (Worst Case Scenario)'!E31</f>
        <v>15419.985689019726</v>
      </c>
      <c r="F9" s="46">
        <f>'2026 SOPL (Worst Case Scenario)'!F31</f>
        <v>15419.985689019726</v>
      </c>
      <c r="G9" s="46">
        <f>'2026 SOPL (Worst Case Scenario)'!G31</f>
        <v>15419.985689019726</v>
      </c>
      <c r="H9" s="46">
        <f>'2026 SOPL (Worst Case Scenario)'!H31</f>
        <v>15419.985689019726</v>
      </c>
      <c r="I9" s="46">
        <f>'2026 SOPL (Worst Case Scenario)'!I31</f>
        <v>15419.985689019726</v>
      </c>
      <c r="J9" s="46">
        <f>'2026 SOPL (Worst Case Scenario)'!J31</f>
        <v>15419.985689019726</v>
      </c>
      <c r="K9" s="46">
        <f>'2026 SOPL (Worst Case Scenario)'!K31</f>
        <v>15419.985689019726</v>
      </c>
      <c r="L9" s="46">
        <f>'2026 SOPL (Worst Case Scenario)'!L31</f>
        <v>15419.985689019726</v>
      </c>
      <c r="M9" s="46">
        <f>'2026 SOPL (Worst Case Scenario)'!M31</f>
        <v>15419.985689019726</v>
      </c>
    </row>
    <row r="10" spans="1:13" x14ac:dyDescent="0.2">
      <c r="A10" t="s">
        <v>202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</row>
    <row r="11" spans="1:13" x14ac:dyDescent="0.2">
      <c r="A11" s="53" t="s">
        <v>206</v>
      </c>
      <c r="B11" s="101">
        <f t="shared" ref="B11:M11" si="1">SUM(B6:B7)</f>
        <v>2488435.0269282628</v>
      </c>
      <c r="C11" s="101">
        <f t="shared" si="1"/>
        <v>1932744.3338780396</v>
      </c>
      <c r="D11" s="101">
        <f t="shared" si="1"/>
        <v>2584288.0838780394</v>
      </c>
      <c r="E11" s="101">
        <f t="shared" si="1"/>
        <v>2367106.8338780394</v>
      </c>
      <c r="F11" s="101">
        <f t="shared" si="1"/>
        <v>2584288.0838780394</v>
      </c>
      <c r="G11" s="101">
        <f t="shared" si="1"/>
        <v>2367106.8338780394</v>
      </c>
      <c r="H11" s="101">
        <f t="shared" si="1"/>
        <v>2584288.0838780394</v>
      </c>
      <c r="I11" s="101">
        <f t="shared" si="1"/>
        <v>2584288.0838780394</v>
      </c>
      <c r="J11" s="101">
        <f t="shared" si="1"/>
        <v>2367106.8338780394</v>
      </c>
      <c r="K11" s="101">
        <f t="shared" si="1"/>
        <v>2584288.0838780394</v>
      </c>
      <c r="L11" s="101">
        <f t="shared" si="1"/>
        <v>2367106.8338780394</v>
      </c>
      <c r="M11" s="101">
        <f t="shared" si="1"/>
        <v>2584288.0838780394</v>
      </c>
    </row>
    <row r="12" spans="1:13" x14ac:dyDescent="0.2">
      <c r="A12" t="s">
        <v>201</v>
      </c>
      <c r="B12" s="46">
        <f t="shared" ref="B12:M12" si="2">-(B9)</f>
        <v>-15419.985689019726</v>
      </c>
      <c r="C12" s="46">
        <f t="shared" si="2"/>
        <v>-15419.985689019726</v>
      </c>
      <c r="D12" s="46">
        <f t="shared" si="2"/>
        <v>-15419.985689019726</v>
      </c>
      <c r="E12" s="46">
        <f t="shared" si="2"/>
        <v>-15419.985689019726</v>
      </c>
      <c r="F12" s="46">
        <f t="shared" si="2"/>
        <v>-15419.985689019726</v>
      </c>
      <c r="G12" s="46">
        <f t="shared" si="2"/>
        <v>-15419.985689019726</v>
      </c>
      <c r="H12" s="46">
        <f t="shared" si="2"/>
        <v>-15419.985689019726</v>
      </c>
      <c r="I12" s="46">
        <f t="shared" si="2"/>
        <v>-15419.985689019726</v>
      </c>
      <c r="J12" s="46">
        <f t="shared" si="2"/>
        <v>-15419.985689019726</v>
      </c>
      <c r="K12" s="46">
        <f t="shared" si="2"/>
        <v>-15419.985689019726</v>
      </c>
      <c r="L12" s="46">
        <f t="shared" si="2"/>
        <v>-15419.985689019726</v>
      </c>
      <c r="M12" s="46">
        <f t="shared" si="2"/>
        <v>-15419.985689019726</v>
      </c>
    </row>
    <row r="13" spans="1:13" x14ac:dyDescent="0.2">
      <c r="A13" t="s">
        <v>207</v>
      </c>
      <c r="B13" s="46">
        <f>-('Projected BS'!$B$104-'Projected BS'!$C$102)/12</f>
        <v>-620187.95299389958</v>
      </c>
      <c r="C13" s="46">
        <f>-('Projected BS'!$B$104-'Projected BS'!$C$102)/12</f>
        <v>-620187.95299389958</v>
      </c>
      <c r="D13" s="46">
        <f>-('Projected BS'!$B$104-'Projected BS'!$C$102)/12</f>
        <v>-620187.95299389958</v>
      </c>
      <c r="E13" s="46">
        <f>-('Projected BS'!$B$104-'Projected BS'!$C$102)/12</f>
        <v>-620187.95299389958</v>
      </c>
      <c r="F13" s="46">
        <f>-('Projected BS'!$B$104-'Projected BS'!$C$102)/12</f>
        <v>-620187.95299389958</v>
      </c>
      <c r="G13" s="46">
        <f>-('Projected BS'!$B$104-'Projected BS'!$C$102)/12</f>
        <v>-620187.95299389958</v>
      </c>
      <c r="H13" s="46">
        <f>-('Projected BS'!$B$104-'Projected BS'!$C$102)/12</f>
        <v>-620187.95299389958</v>
      </c>
      <c r="I13" s="46">
        <f>-('Projected BS'!$B$104-'Projected BS'!$C$102)/12</f>
        <v>-620187.95299389958</v>
      </c>
      <c r="J13" s="46">
        <f>-('Projected BS'!$B$104-'Projected BS'!$C$102)/12</f>
        <v>-620187.95299389958</v>
      </c>
      <c r="K13" s="46">
        <f>-('Projected BS'!$B$104-'Projected BS'!$C$102)/12</f>
        <v>-620187.95299389958</v>
      </c>
      <c r="L13" s="46">
        <f>-('Projected BS'!$B$104-'Projected BS'!$C$102)/12</f>
        <v>-620187.95299389958</v>
      </c>
      <c r="M13" s="46">
        <f>-('Projected BS'!$B$104-'Projected BS'!$C$102)/12</f>
        <v>-620187.95299389958</v>
      </c>
    </row>
    <row r="14" spans="1:13" x14ac:dyDescent="0.2">
      <c r="A14" t="s">
        <v>208</v>
      </c>
      <c r="B14" s="46">
        <f>-'2026 SOPL (Worst Case Scenario)'!B33</f>
        <v>-665284.38513459568</v>
      </c>
      <c r="C14" s="46">
        <f>-'2026 SOPL (Worst Case Scenario)'!C33</f>
        <v>-515247.8980110354</v>
      </c>
      <c r="D14" s="46">
        <f>-'2026 SOPL (Worst Case Scenario)'!D33</f>
        <v>-691164.7105110354</v>
      </c>
      <c r="E14" s="46">
        <f>-'2026 SOPL (Worst Case Scenario)'!E33</f>
        <v>-632525.7730110354</v>
      </c>
      <c r="F14" s="46">
        <f>-'2026 SOPL (Worst Case Scenario)'!F33</f>
        <v>-691164.7105110354</v>
      </c>
      <c r="G14" s="46">
        <f>-'2026 SOPL (Worst Case Scenario)'!G33</f>
        <v>-632525.7730110354</v>
      </c>
      <c r="H14" s="46">
        <f>-'2026 SOPL (Worst Case Scenario)'!H33</f>
        <v>-691164.7105110354</v>
      </c>
      <c r="I14" s="46">
        <f>-'2026 SOPL (Worst Case Scenario)'!I33</f>
        <v>-691164.7105110354</v>
      </c>
      <c r="J14" s="46">
        <f>-'2026 SOPL (Worst Case Scenario)'!J33</f>
        <v>-632525.7730110354</v>
      </c>
      <c r="K14" s="46">
        <f>-'2026 SOPL (Worst Case Scenario)'!K33</f>
        <v>-691164.7105110354</v>
      </c>
      <c r="L14" s="46">
        <f>-'2026 SOPL (Worst Case Scenario)'!L33</f>
        <v>-632525.7730110354</v>
      </c>
      <c r="M14" s="46">
        <f>-'2026 SOPL (Worst Case Scenario)'!M33</f>
        <v>-691164.7105110354</v>
      </c>
    </row>
    <row r="15" spans="1:13" x14ac:dyDescent="0.2">
      <c r="A15" s="53" t="s">
        <v>209</v>
      </c>
      <c r="B15" s="101">
        <f>SUM(B11:B14)</f>
        <v>1187542.7031107477</v>
      </c>
      <c r="C15" s="101">
        <f t="shared" ref="C15:L15" si="3">SUM(C11:C14)</f>
        <v>781888.49718408484</v>
      </c>
      <c r="D15" s="101">
        <f t="shared" si="3"/>
        <v>1257515.4346840847</v>
      </c>
      <c r="E15" s="101">
        <f t="shared" si="3"/>
        <v>1098973.1221840847</v>
      </c>
      <c r="F15" s="101">
        <f t="shared" si="3"/>
        <v>1257515.4346840847</v>
      </c>
      <c r="G15" s="101">
        <f t="shared" si="3"/>
        <v>1098973.1221840847</v>
      </c>
      <c r="H15" s="101">
        <f t="shared" si="3"/>
        <v>1257515.4346840847</v>
      </c>
      <c r="I15" s="101">
        <f t="shared" si="3"/>
        <v>1257515.4346840847</v>
      </c>
      <c r="J15" s="101">
        <f t="shared" si="3"/>
        <v>1098973.1221840847</v>
      </c>
      <c r="K15" s="101">
        <f t="shared" si="3"/>
        <v>1257515.4346840847</v>
      </c>
      <c r="L15" s="101">
        <f t="shared" si="3"/>
        <v>1098973.1221840847</v>
      </c>
      <c r="M15" s="101">
        <f>SUM(M11:M14)</f>
        <v>1257515.4346840847</v>
      </c>
    </row>
    <row r="16" spans="1:13" x14ac:dyDescent="0.2">
      <c r="A16" s="53" t="s">
        <v>210</v>
      </c>
    </row>
    <row r="17" spans="1:13" x14ac:dyDescent="0.2">
      <c r="A17" t="s">
        <v>299</v>
      </c>
      <c r="B17" s="46">
        <f>-'Projected BS'!C131</f>
        <v>-410280.80000000005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</row>
    <row r="18" spans="1:13" x14ac:dyDescent="0.2">
      <c r="A18" t="s">
        <v>300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</row>
    <row r="19" spans="1:13" x14ac:dyDescent="0.2">
      <c r="A19" t="s">
        <v>302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x14ac:dyDescent="0.2">
      <c r="A20" t="s">
        <v>211</v>
      </c>
      <c r="B20" s="46">
        <f>-'Projected BS'!$C$137</f>
        <v>-539928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</row>
    <row r="21" spans="1:13" x14ac:dyDescent="0.2">
      <c r="A21" s="53" t="s">
        <v>212</v>
      </c>
      <c r="B21" s="101">
        <f>SUM(B17:B20)</f>
        <v>-950208.8</v>
      </c>
      <c r="C21" s="101">
        <f t="shared" ref="C21:M21" si="4">SUM(C15,C17:C20)</f>
        <v>781888.49718408484</v>
      </c>
      <c r="D21" s="101">
        <f t="shared" si="4"/>
        <v>1257515.4346840847</v>
      </c>
      <c r="E21" s="101">
        <f t="shared" si="4"/>
        <v>1098973.1221840847</v>
      </c>
      <c r="F21" s="101">
        <f t="shared" si="4"/>
        <v>1257515.4346840847</v>
      </c>
      <c r="G21" s="101">
        <f t="shared" si="4"/>
        <v>1098973.1221840847</v>
      </c>
      <c r="H21" s="101">
        <f t="shared" si="4"/>
        <v>1257515.4346840847</v>
      </c>
      <c r="I21" s="101">
        <f t="shared" si="4"/>
        <v>1257515.4346840847</v>
      </c>
      <c r="J21" s="101">
        <f t="shared" si="4"/>
        <v>1098973.1221840847</v>
      </c>
      <c r="K21" s="101">
        <f t="shared" si="4"/>
        <v>1257515.4346840847</v>
      </c>
      <c r="L21" s="101">
        <f t="shared" si="4"/>
        <v>1098973.1221840847</v>
      </c>
      <c r="M21" s="101">
        <f t="shared" si="4"/>
        <v>1257515.4346840847</v>
      </c>
    </row>
    <row r="22" spans="1:13" x14ac:dyDescent="0.2">
      <c r="A22" s="53" t="s">
        <v>213</v>
      </c>
    </row>
    <row r="23" spans="1:13" x14ac:dyDescent="0.2">
      <c r="A23" t="s">
        <v>214</v>
      </c>
      <c r="B23" s="46">
        <v>100000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</row>
    <row r="24" spans="1:13" x14ac:dyDescent="0.2">
      <c r="A24" t="s">
        <v>207</v>
      </c>
      <c r="B24" s="4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>
        <f>'Projected BS'!B103</f>
        <v>-7442255.435926795</v>
      </c>
    </row>
    <row r="25" spans="1:13" x14ac:dyDescent="0.2">
      <c r="A25" t="s">
        <v>215</v>
      </c>
      <c r="B25" s="46">
        <f>'Projected BS'!$C$149</f>
        <v>37639942.812306911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</row>
    <row r="26" spans="1:13" x14ac:dyDescent="0.2">
      <c r="A26" t="s">
        <v>216</v>
      </c>
      <c r="B26" s="46">
        <f>-'Projected BS'!$C$156</f>
        <v>-313666.19010255759</v>
      </c>
      <c r="C26" s="46">
        <f>-'Projected BS'!$C$156</f>
        <v>-313666.19010255759</v>
      </c>
      <c r="D26" s="46">
        <f>-'Projected BS'!$C$156</f>
        <v>-313666.19010255759</v>
      </c>
      <c r="E26" s="46">
        <f>-'Projected BS'!$C$156</f>
        <v>-313666.19010255759</v>
      </c>
      <c r="F26" s="46">
        <f>-'Projected BS'!$C$156</f>
        <v>-313666.19010255759</v>
      </c>
      <c r="G26" s="46">
        <f>-'Projected BS'!$C$156</f>
        <v>-313666.19010255759</v>
      </c>
      <c r="H26" s="46">
        <f>-'Projected BS'!$C$156</f>
        <v>-313666.19010255759</v>
      </c>
      <c r="I26" s="46">
        <f>-'Projected BS'!$C$156</f>
        <v>-313666.19010255759</v>
      </c>
      <c r="J26" s="46">
        <f>-'Projected BS'!$C$156</f>
        <v>-313666.19010255759</v>
      </c>
      <c r="K26" s="46">
        <f>-'Projected BS'!$C$156</f>
        <v>-313666.19010255759</v>
      </c>
      <c r="L26" s="46">
        <f>-'Projected BS'!$C$156</f>
        <v>-313666.19010255759</v>
      </c>
      <c r="M26" s="46">
        <f>-'Projected BS'!$C$156</f>
        <v>-313666.19010255759</v>
      </c>
    </row>
    <row r="27" spans="1:13" x14ac:dyDescent="0.2">
      <c r="A27" s="53" t="s">
        <v>301</v>
      </c>
      <c r="B27" s="101">
        <f>SUM(B23:B26)</f>
        <v>37426276.622204356</v>
      </c>
      <c r="C27" s="101">
        <f t="shared" ref="C27:H27" si="5">SUM(C21,C23:C26)</f>
        <v>468222.30708152725</v>
      </c>
      <c r="D27" s="101">
        <f t="shared" si="5"/>
        <v>943849.24458152708</v>
      </c>
      <c r="E27" s="101">
        <f t="shared" si="5"/>
        <v>785306.93208152708</v>
      </c>
      <c r="F27" s="101">
        <f t="shared" si="5"/>
        <v>943849.24458152708</v>
      </c>
      <c r="G27" s="101">
        <f t="shared" si="5"/>
        <v>785306.93208152708</v>
      </c>
      <c r="H27" s="101">
        <f t="shared" si="5"/>
        <v>943849.24458152708</v>
      </c>
      <c r="I27" s="101">
        <f>SUM(I21,I23:I26)</f>
        <v>943849.24458152708</v>
      </c>
      <c r="J27" s="101">
        <f t="shared" ref="J27" si="6">SUM(J21,J23:J26)</f>
        <v>785306.93208152708</v>
      </c>
      <c r="K27" s="101">
        <f t="shared" ref="K27" si="7">SUM(K21,K23:K26)</f>
        <v>943849.24458152708</v>
      </c>
      <c r="L27" s="101">
        <f t="shared" ref="L27" si="8">SUM(L21,L23:L26)</f>
        <v>785306.93208152708</v>
      </c>
      <c r="M27" s="101">
        <f t="shared" ref="M27" si="9">SUM(M21,M23:M26)</f>
        <v>-6498406.1913452679</v>
      </c>
    </row>
    <row r="28" spans="1:13" x14ac:dyDescent="0.2">
      <c r="A28" s="53" t="s">
        <v>217</v>
      </c>
      <c r="B28" s="101">
        <f>SUM(B15,B21,B27)</f>
        <v>37663610.525315106</v>
      </c>
      <c r="C28" s="101">
        <f>SUM(C15,C21,C27)</f>
        <v>2031999.301449697</v>
      </c>
      <c r="D28" s="101">
        <f>SUM(D15,D21,D27)</f>
        <v>3458880.1139496965</v>
      </c>
      <c r="E28" s="101">
        <f t="shared" ref="E28:M28" si="10">SUM(E15,E21,E27)</f>
        <v>2983253.1764496965</v>
      </c>
      <c r="F28" s="101">
        <f t="shared" si="10"/>
        <v>3458880.1139496965</v>
      </c>
      <c r="G28" s="101">
        <f t="shared" si="10"/>
        <v>2983253.1764496965</v>
      </c>
      <c r="H28" s="101">
        <f t="shared" si="10"/>
        <v>3458880.1139496965</v>
      </c>
      <c r="I28" s="101">
        <f t="shared" si="10"/>
        <v>3458880.1139496965</v>
      </c>
      <c r="J28" s="101">
        <f t="shared" si="10"/>
        <v>2983253.1764496965</v>
      </c>
      <c r="K28" s="101">
        <f t="shared" si="10"/>
        <v>3458880.1139496965</v>
      </c>
      <c r="L28" s="101">
        <f t="shared" si="10"/>
        <v>2983253.1764496965</v>
      </c>
      <c r="M28" s="101">
        <f t="shared" si="10"/>
        <v>-3983375.3219770985</v>
      </c>
    </row>
    <row r="29" spans="1:13" x14ac:dyDescent="0.2">
      <c r="A29" s="53" t="s">
        <v>218</v>
      </c>
      <c r="B29" s="121">
        <v>0</v>
      </c>
      <c r="C29" s="101">
        <f>B30</f>
        <v>37663610.525315106</v>
      </c>
      <c r="D29" s="101">
        <f t="shared" ref="D29:M29" si="11">C30</f>
        <v>39695609.8267648</v>
      </c>
      <c r="E29" s="101">
        <f>D30</f>
        <v>43154489.940714493</v>
      </c>
      <c r="F29" s="101">
        <f t="shared" si="11"/>
        <v>46137743.117164187</v>
      </c>
      <c r="G29" s="101">
        <f t="shared" si="11"/>
        <v>49596623.231113881</v>
      </c>
      <c r="H29" s="101">
        <f t="shared" si="11"/>
        <v>52579876.407563575</v>
      </c>
      <c r="I29" s="101">
        <f t="shared" si="11"/>
        <v>56038756.521513268</v>
      </c>
      <c r="J29" s="101">
        <f t="shared" si="11"/>
        <v>59497636.635462962</v>
      </c>
      <c r="K29" s="101">
        <f t="shared" si="11"/>
        <v>62480889.811912656</v>
      </c>
      <c r="L29" s="101">
        <f t="shared" si="11"/>
        <v>65939769.92586235</v>
      </c>
      <c r="M29" s="101">
        <f t="shared" si="11"/>
        <v>68923023.102312043</v>
      </c>
    </row>
    <row r="30" spans="1:13" x14ac:dyDescent="0.2">
      <c r="A30" s="53" t="s">
        <v>219</v>
      </c>
      <c r="B30" s="101">
        <f t="shared" ref="B30:G30" si="12">SUM(B28:B29)</f>
        <v>37663610.525315106</v>
      </c>
      <c r="C30" s="101">
        <f t="shared" si="12"/>
        <v>39695609.8267648</v>
      </c>
      <c r="D30" s="101">
        <f t="shared" si="12"/>
        <v>43154489.940714493</v>
      </c>
      <c r="E30" s="101">
        <f t="shared" si="12"/>
        <v>46137743.117164187</v>
      </c>
      <c r="F30" s="101">
        <f t="shared" si="12"/>
        <v>49596623.231113881</v>
      </c>
      <c r="G30" s="101">
        <f t="shared" si="12"/>
        <v>52579876.407563575</v>
      </c>
      <c r="H30" s="101">
        <f t="shared" ref="H30:M30" si="13">SUM(H28:H29)</f>
        <v>56038756.521513268</v>
      </c>
      <c r="I30" s="101">
        <f t="shared" si="13"/>
        <v>59497636.635462962</v>
      </c>
      <c r="J30" s="101">
        <f t="shared" si="13"/>
        <v>62480889.811912656</v>
      </c>
      <c r="K30" s="101">
        <f t="shared" si="13"/>
        <v>65939769.92586235</v>
      </c>
      <c r="L30" s="101">
        <f t="shared" si="13"/>
        <v>68923023.102312043</v>
      </c>
      <c r="M30" s="101">
        <f t="shared" si="13"/>
        <v>64939647.780334942</v>
      </c>
    </row>
  </sheetData>
  <mergeCells count="1">
    <mergeCell ref="B3:M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5F70-0424-4C48-9A64-CD7B5CEA9AA7}">
  <sheetPr>
    <tabColor theme="9"/>
  </sheetPr>
  <dimension ref="A1:P31"/>
  <sheetViews>
    <sheetView topLeftCell="A3" workbookViewId="0">
      <selection activeCell="A11" sqref="A11"/>
    </sheetView>
  </sheetViews>
  <sheetFormatPr baseColWidth="10" defaultColWidth="8.83203125" defaultRowHeight="16" x14ac:dyDescent="0.2"/>
  <cols>
    <col min="1" max="1" width="40.5" bestFit="1" customWidth="1"/>
    <col min="2" max="2" width="13.33203125" customWidth="1"/>
    <col min="3" max="3" width="16.5" customWidth="1"/>
    <col min="4" max="4" width="16" customWidth="1"/>
    <col min="5" max="5" width="14.5" customWidth="1"/>
    <col min="6" max="6" width="15.83203125" customWidth="1"/>
    <col min="7" max="7" width="14.5" customWidth="1"/>
    <col min="8" max="8" width="14" customWidth="1"/>
    <col min="9" max="11" width="15.6640625" customWidth="1"/>
    <col min="12" max="12" width="16" customWidth="1"/>
    <col min="13" max="13" width="16.1640625" customWidth="1"/>
    <col min="15" max="15" width="15" bestFit="1" customWidth="1"/>
  </cols>
  <sheetData>
    <row r="1" spans="1:16" x14ac:dyDescent="0.2">
      <c r="A1" s="54" t="s">
        <v>265</v>
      </c>
      <c r="B1" s="54" t="s">
        <v>233</v>
      </c>
      <c r="C1" s="63" t="s">
        <v>234</v>
      </c>
      <c r="D1" s="64">
        <v>2026</v>
      </c>
      <c r="E1" s="64">
        <v>2027</v>
      </c>
      <c r="F1" s="64">
        <v>2028</v>
      </c>
      <c r="G1" s="64">
        <v>2029</v>
      </c>
      <c r="H1" s="64">
        <v>2030</v>
      </c>
      <c r="I1" s="64">
        <v>2031</v>
      </c>
      <c r="J1" s="64">
        <v>2032</v>
      </c>
      <c r="K1" s="64">
        <v>2033</v>
      </c>
      <c r="L1" s="64">
        <v>2034</v>
      </c>
      <c r="M1" s="64">
        <v>2035</v>
      </c>
    </row>
    <row r="2" spans="1:16" x14ac:dyDescent="0.2">
      <c r="A2" s="65" t="s">
        <v>30</v>
      </c>
      <c r="B2" s="66" t="s">
        <v>235</v>
      </c>
      <c r="C2" s="67"/>
      <c r="D2" s="68">
        <f>'3. SOPL (Best Case Scenario)'!B5</f>
        <v>251487609.75000003</v>
      </c>
      <c r="E2" s="68">
        <f>'3. SOPL (Best Case Scenario)'!C5</f>
        <v>289210751.21250004</v>
      </c>
      <c r="F2" s="68">
        <f>'3. SOPL (Best Case Scenario)'!D5</f>
        <v>332592363.89437503</v>
      </c>
      <c r="G2" s="68">
        <f>'3. SOPL (Best Case Scenario)'!E5</f>
        <v>382481218.47853124</v>
      </c>
      <c r="H2" s="68">
        <f>'3. SOPL (Best Case Scenario)'!F5</f>
        <v>439853401.2503109</v>
      </c>
      <c r="I2" s="68">
        <f>'3. SOPL (Best Case Scenario)'!G5</f>
        <v>505831411.43785751</v>
      </c>
      <c r="J2" s="68">
        <f>'3. SOPL (Best Case Scenario)'!H5</f>
        <v>581706123.15353608</v>
      </c>
      <c r="K2" s="68">
        <f>'3. SOPL (Best Case Scenario)'!I5</f>
        <v>668962041.62656641</v>
      </c>
      <c r="L2" s="68">
        <f>'3. SOPL (Best Case Scenario)'!J5</f>
        <v>769306347.87055135</v>
      </c>
      <c r="M2" s="68">
        <f>'3. SOPL (Best Case Scenario)'!K5</f>
        <v>884702300.05113399</v>
      </c>
      <c r="O2" s="69"/>
    </row>
    <row r="3" spans="1:16" x14ac:dyDescent="0.2">
      <c r="A3" s="65" t="s">
        <v>236</v>
      </c>
      <c r="B3" s="66" t="s">
        <v>237</v>
      </c>
      <c r="C3" s="67">
        <f>0</f>
        <v>0</v>
      </c>
      <c r="D3" s="67">
        <f>-'3. SOPL (Best Case Scenario)'!B8</f>
        <v>106611590.65648334</v>
      </c>
      <c r="E3" s="67">
        <f>-'3. SOPL (Best Case Scenario)'!C8</f>
        <v>112762108.558851</v>
      </c>
      <c r="F3" s="67">
        <f>-'3. SOPL (Best Case Scenario)'!D8</f>
        <v>118543064.33843471</v>
      </c>
      <c r="G3" s="67">
        <f>-'3. SOPL (Best Case Scenario)'!E8</f>
        <v>124279474.45121798</v>
      </c>
      <c r="H3" s="67">
        <f>-'3. SOPL (Best Case Scenario)'!F8</f>
        <v>130296968.65952767</v>
      </c>
      <c r="I3" s="67">
        <f>-'3. SOPL (Best Case Scenario)'!G8</f>
        <v>136385849.88404447</v>
      </c>
      <c r="J3" s="67">
        <f>-'3. SOPL (Best Case Scenario)'!H8</f>
        <v>143007506.52836275</v>
      </c>
      <c r="K3" s="67">
        <f>-'3. SOPL (Best Case Scenario)'!I8</f>
        <v>149953624.34825245</v>
      </c>
      <c r="L3" s="67">
        <f>-'3. SOPL (Best Case Scenario)'!J8</f>
        <v>157240101.94131681</v>
      </c>
      <c r="M3" s="67">
        <f>-'3. SOPL (Best Case Scenario)'!K8</f>
        <v>164883616.93644133</v>
      </c>
    </row>
    <row r="4" spans="1:16" x14ac:dyDescent="0.2">
      <c r="A4" s="65" t="s">
        <v>238</v>
      </c>
      <c r="B4" s="66"/>
      <c r="C4" s="70"/>
      <c r="D4" s="71">
        <f>'3. SOPL (Best Case Scenario)'!B11</f>
        <v>223470.19999999998</v>
      </c>
      <c r="E4" s="71">
        <f>'3. SOPL (Best Case Scenario)'!C11</f>
        <v>1160970.2</v>
      </c>
      <c r="F4" s="71">
        <f>'3. SOPL (Best Case Scenario)'!D11</f>
        <v>1473470.2</v>
      </c>
      <c r="G4" s="71">
        <f>'3. SOPL (Best Case Scenario)'!E11</f>
        <v>1473470.2</v>
      </c>
      <c r="H4" s="71">
        <f>'3. SOPL (Best Case Scenario)'!F11</f>
        <v>1473470.2</v>
      </c>
      <c r="I4" s="71">
        <f>'3. SOPL (Best Case Scenario)'!G11</f>
        <v>1250000</v>
      </c>
      <c r="J4" s="71">
        <f>'3. SOPL (Best Case Scenario)'!H11</f>
        <v>1250000</v>
      </c>
      <c r="K4" s="71">
        <f>'3. SOPL (Best Case Scenario)'!I11</f>
        <v>1250000</v>
      </c>
      <c r="L4" s="71">
        <f>'3. SOPL (Best Case Scenario)'!J11</f>
        <v>1250000</v>
      </c>
      <c r="M4" s="71">
        <f>'3. SOPL (Best Case Scenario)'!K11</f>
        <v>1250000</v>
      </c>
    </row>
    <row r="5" spans="1:16" x14ac:dyDescent="0.2">
      <c r="A5" s="72" t="s">
        <v>239</v>
      </c>
      <c r="B5" s="66"/>
      <c r="C5" s="73">
        <f>C2+C3</f>
        <v>0</v>
      </c>
      <c r="D5" s="74">
        <f>D2-D3+D4</f>
        <v>145099489.2935167</v>
      </c>
      <c r="E5" s="74">
        <f t="shared" ref="E5:M5" si="0">E2-E3+E4</f>
        <v>177609612.85364902</v>
      </c>
      <c r="F5" s="74">
        <f t="shared" si="0"/>
        <v>215522769.75594032</v>
      </c>
      <c r="G5" s="74">
        <f t="shared" si="0"/>
        <v>259675214.22731325</v>
      </c>
      <c r="H5" s="74">
        <f t="shared" si="0"/>
        <v>311029902.79078323</v>
      </c>
      <c r="I5" s="74">
        <f t="shared" si="0"/>
        <v>370695561.55381304</v>
      </c>
      <c r="J5" s="74">
        <f t="shared" si="0"/>
        <v>439948616.62517333</v>
      </c>
      <c r="K5" s="74">
        <f t="shared" si="0"/>
        <v>520258417.27831399</v>
      </c>
      <c r="L5" s="74">
        <f t="shared" si="0"/>
        <v>613316245.9292345</v>
      </c>
      <c r="M5" s="74">
        <f t="shared" si="0"/>
        <v>721068683.11469269</v>
      </c>
      <c r="O5" s="69"/>
      <c r="P5" s="75"/>
    </row>
    <row r="6" spans="1:16" x14ac:dyDescent="0.2">
      <c r="A6" s="65" t="s">
        <v>240</v>
      </c>
      <c r="B6" s="66" t="s">
        <v>241</v>
      </c>
      <c r="C6" s="76">
        <v>-70537251.829027995</v>
      </c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6" x14ac:dyDescent="0.2">
      <c r="A7" s="72" t="s">
        <v>82</v>
      </c>
      <c r="B7" s="66"/>
      <c r="C7" s="73"/>
      <c r="D7" s="74">
        <f>SUM(D5:D6)</f>
        <v>145099489.2935167</v>
      </c>
      <c r="E7" s="74">
        <f t="shared" ref="E7:M7" si="1">SUM(E5:E6)</f>
        <v>177609612.85364902</v>
      </c>
      <c r="F7" s="74">
        <f t="shared" si="1"/>
        <v>215522769.75594032</v>
      </c>
      <c r="G7" s="74">
        <f t="shared" si="1"/>
        <v>259675214.22731325</v>
      </c>
      <c r="H7" s="74">
        <f t="shared" si="1"/>
        <v>311029902.79078323</v>
      </c>
      <c r="I7" s="74">
        <f t="shared" si="1"/>
        <v>370695561.55381304</v>
      </c>
      <c r="J7" s="74">
        <f t="shared" si="1"/>
        <v>439948616.62517333</v>
      </c>
      <c r="K7" s="74">
        <f t="shared" si="1"/>
        <v>520258417.27831399</v>
      </c>
      <c r="L7" s="74">
        <f t="shared" si="1"/>
        <v>613316245.9292345</v>
      </c>
      <c r="M7" s="74">
        <f t="shared" si="1"/>
        <v>721068683.11469269</v>
      </c>
    </row>
    <row r="8" spans="1:16" x14ac:dyDescent="0.2">
      <c r="A8" s="65" t="s">
        <v>242</v>
      </c>
      <c r="C8" s="71"/>
      <c r="D8" s="78">
        <f>D23</f>
        <v>38457725.155249514</v>
      </c>
      <c r="E8" s="78">
        <f t="shared" ref="E8:M8" si="2">E23</f>
        <v>47015138.516485244</v>
      </c>
      <c r="F8" s="78">
        <f t="shared" si="2"/>
        <v>57117878.880103894</v>
      </c>
      <c r="G8" s="78">
        <f t="shared" si="2"/>
        <v>68951245.687374592</v>
      </c>
      <c r="H8" s="78">
        <f t="shared" si="2"/>
        <v>82722815.079511479</v>
      </c>
      <c r="I8" s="78">
        <f t="shared" si="2"/>
        <v>98725362.77352953</v>
      </c>
      <c r="J8" s="78">
        <f t="shared" si="2"/>
        <v>117369096.40759681</v>
      </c>
      <c r="K8" s="78">
        <f t="shared" si="2"/>
        <v>138923351.5758248</v>
      </c>
      <c r="L8" s="78">
        <f t="shared" si="2"/>
        <v>163910199.20264134</v>
      </c>
      <c r="M8" s="78">
        <f t="shared" si="2"/>
        <v>192848338.52288985</v>
      </c>
    </row>
    <row r="9" spans="1:16" x14ac:dyDescent="0.2">
      <c r="A9" s="72" t="s">
        <v>243</v>
      </c>
      <c r="B9" s="66"/>
      <c r="C9" s="73">
        <f>C6</f>
        <v>-70537251.829027995</v>
      </c>
      <c r="D9" s="74">
        <f>D7-D8</f>
        <v>106641764.13826719</v>
      </c>
      <c r="E9" s="74">
        <f t="shared" ref="E9:M9" si="3">E7-E8</f>
        <v>130594474.33716378</v>
      </c>
      <c r="F9" s="74">
        <f t="shared" si="3"/>
        <v>158404890.87583643</v>
      </c>
      <c r="G9" s="74">
        <f t="shared" si="3"/>
        <v>190723968.53993866</v>
      </c>
      <c r="H9" s="74">
        <f t="shared" si="3"/>
        <v>228307087.71127176</v>
      </c>
      <c r="I9" s="74">
        <f t="shared" si="3"/>
        <v>271970198.78028351</v>
      </c>
      <c r="J9" s="74">
        <f t="shared" si="3"/>
        <v>322579520.2175765</v>
      </c>
      <c r="K9" s="74">
        <f t="shared" si="3"/>
        <v>381335065.7024892</v>
      </c>
      <c r="L9" s="74">
        <f t="shared" si="3"/>
        <v>449406046.72659314</v>
      </c>
      <c r="M9" s="74">
        <f t="shared" si="3"/>
        <v>528220344.59180284</v>
      </c>
    </row>
    <row r="10" spans="1:16" x14ac:dyDescent="0.2">
      <c r="B10" s="66" t="s">
        <v>244</v>
      </c>
      <c r="D10" s="79"/>
      <c r="G10" s="80" t="s">
        <v>333</v>
      </c>
      <c r="H10" s="81"/>
      <c r="L10" s="81"/>
      <c r="M10" s="74">
        <f>M9/(12.3%-10%)</f>
        <v>22966101938.774029</v>
      </c>
    </row>
    <row r="11" spans="1:16" x14ac:dyDescent="0.2">
      <c r="D11" s="79"/>
      <c r="G11" s="80" t="s">
        <v>245</v>
      </c>
      <c r="H11" s="81"/>
      <c r="L11" s="81"/>
      <c r="M11" s="74">
        <f>-PV(14.5%,15,-M21,0,0)</f>
        <v>0</v>
      </c>
    </row>
    <row r="12" spans="1:16" ht="17" thickBot="1" x14ac:dyDescent="0.25">
      <c r="A12" s="72" t="s">
        <v>246</v>
      </c>
      <c r="D12" s="82">
        <f>NPV(12.3%,C9,D9,E9,F9,G9,H9,I9,L9,J9,K9,M12)</f>
        <v>7523887746.851182</v>
      </c>
      <c r="E12" s="79"/>
      <c r="F12" s="79"/>
      <c r="G12" s="79"/>
      <c r="H12" s="79"/>
      <c r="I12" s="79"/>
      <c r="J12" s="79"/>
      <c r="K12" s="79"/>
      <c r="L12" s="79"/>
      <c r="M12" s="83">
        <f>M9+M10+M11</f>
        <v>23494322283.365833</v>
      </c>
    </row>
    <row r="13" spans="1:16" ht="17" thickTop="1" x14ac:dyDescent="0.2">
      <c r="A13" s="72" t="s">
        <v>247</v>
      </c>
      <c r="D13" s="84">
        <f>(C6)</f>
        <v>-70537251.829027995</v>
      </c>
      <c r="E13" s="85" t="s">
        <v>248</v>
      </c>
      <c r="F13" s="79"/>
      <c r="G13" s="79"/>
      <c r="H13" s="79"/>
      <c r="I13" s="79"/>
      <c r="J13" s="79"/>
      <c r="K13" s="79"/>
      <c r="L13" s="79"/>
      <c r="M13" s="79"/>
    </row>
    <row r="14" spans="1:16" x14ac:dyDescent="0.2">
      <c r="A14" s="86" t="s">
        <v>249</v>
      </c>
      <c r="C14" s="84"/>
      <c r="D14" s="79">
        <f>-D12/D13</f>
        <v>106.66545054927839</v>
      </c>
      <c r="E14" s="79"/>
      <c r="F14" s="79"/>
      <c r="G14" s="79"/>
      <c r="H14" s="79"/>
      <c r="I14" s="79"/>
      <c r="J14" s="79"/>
      <c r="K14" s="79"/>
      <c r="L14" s="79"/>
      <c r="M14" s="79"/>
    </row>
    <row r="16" spans="1:16" x14ac:dyDescent="0.2">
      <c r="A16" s="87" t="s">
        <v>250</v>
      </c>
      <c r="D16" s="64" t="s">
        <v>251</v>
      </c>
      <c r="E16" s="64" t="s">
        <v>252</v>
      </c>
      <c r="F16" s="64" t="s">
        <v>253</v>
      </c>
      <c r="G16" s="64" t="s">
        <v>254</v>
      </c>
      <c r="H16" s="64" t="s">
        <v>255</v>
      </c>
      <c r="I16" s="64" t="s">
        <v>256</v>
      </c>
      <c r="J16" s="64" t="s">
        <v>257</v>
      </c>
      <c r="K16" s="64" t="s">
        <v>258</v>
      </c>
      <c r="L16" s="64" t="s">
        <v>259</v>
      </c>
      <c r="M16" s="64" t="s">
        <v>260</v>
      </c>
    </row>
    <row r="17" spans="1:13" x14ac:dyDescent="0.2">
      <c r="A17" s="87" t="s">
        <v>261</v>
      </c>
      <c r="D17" s="88">
        <f>D7</f>
        <v>145099489.2935167</v>
      </c>
      <c r="E17" s="88">
        <f t="shared" ref="E17:M17" si="4">E7</f>
        <v>177609612.85364902</v>
      </c>
      <c r="F17" s="88">
        <f t="shared" si="4"/>
        <v>215522769.75594032</v>
      </c>
      <c r="G17" s="88">
        <f t="shared" si="4"/>
        <v>259675214.22731325</v>
      </c>
      <c r="H17" s="88">
        <f t="shared" si="4"/>
        <v>311029902.79078323</v>
      </c>
      <c r="I17" s="88">
        <f t="shared" si="4"/>
        <v>370695561.55381304</v>
      </c>
      <c r="J17" s="88">
        <f t="shared" si="4"/>
        <v>439948616.62517333</v>
      </c>
      <c r="K17" s="88">
        <f t="shared" si="4"/>
        <v>520258417.27831399</v>
      </c>
      <c r="L17" s="88">
        <f t="shared" si="4"/>
        <v>613316245.9292345</v>
      </c>
      <c r="M17" s="88">
        <f t="shared" si="4"/>
        <v>721068683.11469269</v>
      </c>
    </row>
    <row r="18" spans="1:13" x14ac:dyDescent="0.2">
      <c r="A18" s="87" t="s">
        <v>323</v>
      </c>
      <c r="B18" s="135" t="s">
        <v>324</v>
      </c>
      <c r="D18" s="88">
        <f>(98*20000)</f>
        <v>1960000</v>
      </c>
      <c r="E18" s="88">
        <f>(98*1.1*20000)</f>
        <v>2156000</v>
      </c>
      <c r="F18" s="88">
        <f>E18*1.1</f>
        <v>2371600</v>
      </c>
      <c r="G18" s="88">
        <f t="shared" ref="G18:M18" si="5">F18*1.1</f>
        <v>2608760</v>
      </c>
      <c r="H18" s="88">
        <f t="shared" si="5"/>
        <v>2869636</v>
      </c>
      <c r="I18" s="88">
        <f t="shared" si="5"/>
        <v>3156599.6</v>
      </c>
      <c r="J18" s="88">
        <f t="shared" si="5"/>
        <v>3472259.5600000005</v>
      </c>
      <c r="K18" s="88">
        <f t="shared" si="5"/>
        <v>3819485.5160000008</v>
      </c>
      <c r="L18" s="88">
        <f t="shared" si="5"/>
        <v>4201434.0676000016</v>
      </c>
      <c r="M18" s="88">
        <f t="shared" si="5"/>
        <v>4621577.4743600022</v>
      </c>
    </row>
    <row r="19" spans="1:13" x14ac:dyDescent="0.2">
      <c r="A19" s="87" t="s">
        <v>332</v>
      </c>
      <c r="B19" s="135" t="s">
        <v>324</v>
      </c>
      <c r="D19" s="88">
        <f>24*20000</f>
        <v>480000</v>
      </c>
      <c r="E19" s="88">
        <f>30*20000</f>
        <v>600000</v>
      </c>
      <c r="F19" s="88">
        <f>44*20000</f>
        <v>880000</v>
      </c>
      <c r="G19" s="88">
        <f>44*1.1*20000</f>
        <v>968000.00000000012</v>
      </c>
      <c r="H19" s="88">
        <f>48*1.1*20000</f>
        <v>1056000</v>
      </c>
      <c r="I19" s="88">
        <f>53*1.1*20000</f>
        <v>1166000</v>
      </c>
      <c r="J19" s="88">
        <f>58*1.1*20000</f>
        <v>1276000</v>
      </c>
      <c r="K19" s="88">
        <f>64*1.1*20000</f>
        <v>1408000</v>
      </c>
      <c r="L19" s="88">
        <f>70*1.1*20000</f>
        <v>1540000</v>
      </c>
      <c r="M19" s="88">
        <f>77*1.1*20000</f>
        <v>1694000</v>
      </c>
    </row>
    <row r="20" spans="1:13" x14ac:dyDescent="0.2">
      <c r="A20" s="87" t="s">
        <v>329</v>
      </c>
      <c r="D20" s="88">
        <v>0</v>
      </c>
      <c r="E20" s="88">
        <f>'Projected BS'!$C$40*5%</f>
        <v>500000</v>
      </c>
      <c r="F20" s="88">
        <f>'Projected BS'!$C$40*5%</f>
        <v>500000</v>
      </c>
      <c r="G20" s="88">
        <f>'Projected BS'!$C$40*5%</f>
        <v>500000</v>
      </c>
      <c r="H20" s="88">
        <f>'Projected BS'!$C$40*5%</f>
        <v>500000</v>
      </c>
      <c r="I20" s="88">
        <f>'Projected BS'!$C$40*5%</f>
        <v>500000</v>
      </c>
      <c r="J20" s="88">
        <f>'Projected BS'!$C$40*5%</f>
        <v>500000</v>
      </c>
      <c r="K20" s="88">
        <f>'Projected BS'!$C$40*5%</f>
        <v>500000</v>
      </c>
      <c r="L20" s="88">
        <f>'Projected BS'!$C$40*5%</f>
        <v>500000</v>
      </c>
      <c r="M20" s="88">
        <f>'Projected BS'!$C$40*5%</f>
        <v>500000</v>
      </c>
    </row>
    <row r="21" spans="1:13" x14ac:dyDescent="0.2">
      <c r="A21" s="87" t="s">
        <v>262</v>
      </c>
      <c r="D21" s="88">
        <f>'Projected BS'!$C$57*1/5</f>
        <v>223470.2</v>
      </c>
      <c r="E21" s="88">
        <f>'Projected BS'!$C$57*1/5</f>
        <v>223470.2</v>
      </c>
      <c r="F21" s="88">
        <f>'Projected BS'!$C$57*1/5</f>
        <v>223470.2</v>
      </c>
      <c r="G21" s="88">
        <f>'Projected BS'!$C$57*1/5</f>
        <v>223470.2</v>
      </c>
      <c r="H21" s="88">
        <f>'Projected BS'!$C$57*1/5</f>
        <v>223470.2</v>
      </c>
      <c r="I21" s="88">
        <f>'Projected BS'!$C$57*1/5</f>
        <v>223470.2</v>
      </c>
      <c r="J21" s="88">
        <v>0</v>
      </c>
      <c r="K21" s="88">
        <v>0</v>
      </c>
      <c r="L21" s="88">
        <v>0</v>
      </c>
      <c r="M21" s="88">
        <v>0</v>
      </c>
    </row>
    <row r="22" spans="1:13" x14ac:dyDescent="0.2">
      <c r="A22" s="87" t="s">
        <v>263</v>
      </c>
      <c r="D22" s="89">
        <f>D17-D21-D18-D20-D19</f>
        <v>142436019.09351671</v>
      </c>
      <c r="E22" s="89">
        <f t="shared" ref="E22:L22" si="6">E17-E21-E18-E20-E19</f>
        <v>174130142.65364903</v>
      </c>
      <c r="F22" s="89">
        <f t="shared" si="6"/>
        <v>211547699.55594033</v>
      </c>
      <c r="G22" s="89">
        <f t="shared" si="6"/>
        <v>255374984.02731326</v>
      </c>
      <c r="H22" s="89">
        <f t="shared" si="6"/>
        <v>306380796.59078324</v>
      </c>
      <c r="I22" s="89">
        <f t="shared" si="6"/>
        <v>365649491.75381303</v>
      </c>
      <c r="J22" s="89">
        <f t="shared" si="6"/>
        <v>434700357.06517333</v>
      </c>
      <c r="K22" s="89">
        <f t="shared" si="6"/>
        <v>514530931.76231402</v>
      </c>
      <c r="L22" s="89">
        <f t="shared" si="6"/>
        <v>607074811.86163449</v>
      </c>
      <c r="M22" s="89">
        <f>M17-M21-M18-M20-M19</f>
        <v>714253105.6403327</v>
      </c>
    </row>
    <row r="23" spans="1:13" x14ac:dyDescent="0.2">
      <c r="A23" s="90" t="s">
        <v>264</v>
      </c>
      <c r="D23" s="88">
        <f>D22*27%</f>
        <v>38457725.155249514</v>
      </c>
      <c r="E23" s="88">
        <f t="shared" ref="E23:M23" si="7">E22*27%</f>
        <v>47015138.516485244</v>
      </c>
      <c r="F23" s="88">
        <f t="shared" si="7"/>
        <v>57117878.880103894</v>
      </c>
      <c r="G23" s="88">
        <f t="shared" si="7"/>
        <v>68951245.687374592</v>
      </c>
      <c r="H23" s="88">
        <f t="shared" si="7"/>
        <v>82722815.079511479</v>
      </c>
      <c r="I23" s="88">
        <f t="shared" si="7"/>
        <v>98725362.77352953</v>
      </c>
      <c r="J23" s="88">
        <f t="shared" si="7"/>
        <v>117369096.40759681</v>
      </c>
      <c r="K23" s="88">
        <f t="shared" si="7"/>
        <v>138923351.5758248</v>
      </c>
      <c r="L23" s="88">
        <f t="shared" si="7"/>
        <v>163910199.20264134</v>
      </c>
      <c r="M23" s="88">
        <f t="shared" si="7"/>
        <v>192848338.52288985</v>
      </c>
    </row>
    <row r="24" spans="1:13" x14ac:dyDescent="0.2">
      <c r="A24" s="87"/>
    </row>
    <row r="25" spans="1:13" x14ac:dyDescent="0.2">
      <c r="A25" s="87"/>
    </row>
    <row r="26" spans="1:13" x14ac:dyDescent="0.2">
      <c r="A26" s="72" t="s">
        <v>233</v>
      </c>
      <c r="C26" s="91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pans="1:13" x14ac:dyDescent="0.2">
      <c r="A27" s="66" t="s">
        <v>235</v>
      </c>
      <c r="B27" s="92" t="s">
        <v>327</v>
      </c>
      <c r="D27" s="93"/>
    </row>
    <row r="28" spans="1:13" x14ac:dyDescent="0.2">
      <c r="A28" s="66" t="s">
        <v>237</v>
      </c>
      <c r="B28" s="92" t="s">
        <v>326</v>
      </c>
      <c r="D28" s="93"/>
    </row>
    <row r="29" spans="1:13" x14ac:dyDescent="0.2">
      <c r="A29" s="66" t="s">
        <v>241</v>
      </c>
      <c r="B29" s="92" t="s">
        <v>325</v>
      </c>
      <c r="D29" s="93"/>
    </row>
    <row r="30" spans="1:13" x14ac:dyDescent="0.2">
      <c r="A30" s="66" t="s">
        <v>244</v>
      </c>
      <c r="B30" s="92" t="s">
        <v>334</v>
      </c>
    </row>
    <row r="31" spans="1:13" x14ac:dyDescent="0.2">
      <c r="A31" s="135" t="s">
        <v>324</v>
      </c>
      <c r="B31" s="92" t="s">
        <v>328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8D81-4FDD-B44D-AF1B-31031C72B0BE}">
  <sheetPr>
    <tabColor theme="9"/>
  </sheetPr>
  <dimension ref="A1:P31"/>
  <sheetViews>
    <sheetView topLeftCell="L1" workbookViewId="0">
      <selection activeCell="A12" sqref="A12"/>
    </sheetView>
  </sheetViews>
  <sheetFormatPr baseColWidth="10" defaultColWidth="8.83203125" defaultRowHeight="16" x14ac:dyDescent="0.2"/>
  <cols>
    <col min="1" max="1" width="40.5" bestFit="1" customWidth="1"/>
    <col min="2" max="2" width="13.33203125" customWidth="1"/>
    <col min="3" max="3" width="16.5" customWidth="1"/>
    <col min="4" max="4" width="16" customWidth="1"/>
    <col min="5" max="5" width="14.5" customWidth="1"/>
    <col min="6" max="6" width="15.83203125" customWidth="1"/>
    <col min="7" max="7" width="14.5" customWidth="1"/>
    <col min="8" max="8" width="14" customWidth="1"/>
    <col min="9" max="11" width="15.6640625" customWidth="1"/>
    <col min="12" max="12" width="16" customWidth="1"/>
    <col min="13" max="13" width="16.1640625" customWidth="1"/>
    <col min="15" max="15" width="15" bestFit="1" customWidth="1"/>
  </cols>
  <sheetData>
    <row r="1" spans="1:16" x14ac:dyDescent="0.2">
      <c r="A1" s="54" t="s">
        <v>265</v>
      </c>
      <c r="B1" s="54" t="s">
        <v>233</v>
      </c>
      <c r="C1" s="63" t="s">
        <v>234</v>
      </c>
      <c r="D1" s="64">
        <v>2026</v>
      </c>
      <c r="E1" s="64">
        <v>2027</v>
      </c>
      <c r="F1" s="64">
        <v>2028</v>
      </c>
      <c r="G1" s="64">
        <v>2029</v>
      </c>
      <c r="H1" s="64">
        <v>2030</v>
      </c>
      <c r="I1" s="64">
        <v>2031</v>
      </c>
      <c r="J1" s="64">
        <v>2032</v>
      </c>
      <c r="K1" s="64">
        <v>2033</v>
      </c>
      <c r="L1" s="64">
        <v>2034</v>
      </c>
      <c r="M1" s="64">
        <v>2035</v>
      </c>
    </row>
    <row r="2" spans="1:16" x14ac:dyDescent="0.2">
      <c r="A2" s="65" t="s">
        <v>30</v>
      </c>
      <c r="B2" s="66" t="s">
        <v>235</v>
      </c>
      <c r="C2" s="67"/>
      <c r="D2" s="68">
        <f>'SOPL (Worst Case Scenario)'!B5</f>
        <v>79271156.25</v>
      </c>
      <c r="E2" s="68">
        <f>'SOPL (Worst Case Scenario)'!C5</f>
        <v>91161829.6875</v>
      </c>
      <c r="F2" s="68">
        <f>'SOPL (Worst Case Scenario)'!D5</f>
        <v>104836104.14062499</v>
      </c>
      <c r="G2" s="68">
        <f>'SOPL (Worst Case Scenario)'!E5</f>
        <v>120561519.76171874</v>
      </c>
      <c r="H2" s="68">
        <f>'SOPL (Worst Case Scenario)'!F5</f>
        <v>138645747.72597653</v>
      </c>
      <c r="I2" s="68">
        <f>'SOPL (Worst Case Scenario)'!G5</f>
        <v>159442609.884873</v>
      </c>
      <c r="J2" s="68">
        <f>'SOPL (Worst Case Scenario)'!H5</f>
        <v>183359001.36760393</v>
      </c>
      <c r="K2" s="68">
        <f>'SOPL (Worst Case Scenario)'!I5</f>
        <v>210862851.57274455</v>
      </c>
      <c r="L2" s="68">
        <f>'SOPL (Worst Case Scenario)'!J5</f>
        <v>242492279.30865616</v>
      </c>
      <c r="M2" s="68">
        <f>'SOPL (Worst Case Scenario)'!K5</f>
        <v>278866121.20495456</v>
      </c>
      <c r="O2" s="69"/>
    </row>
    <row r="3" spans="1:16" x14ac:dyDescent="0.2">
      <c r="A3" s="65" t="s">
        <v>236</v>
      </c>
      <c r="B3" s="66" t="s">
        <v>237</v>
      </c>
      <c r="C3" s="67">
        <f>0</f>
        <v>0</v>
      </c>
      <c r="D3" s="67">
        <f>-'SOPL (Worst Case Scenario)'!B17</f>
        <v>49957915.106949784</v>
      </c>
      <c r="E3" s="67">
        <f>-'SOPL (Worst Case Scenario)'!C17</f>
        <v>56530300.212992251</v>
      </c>
      <c r="F3" s="67">
        <f>-'SOPL (Worst Case Scenario)'!D17</f>
        <v>64854168.084941082</v>
      </c>
      <c r="G3" s="67">
        <f>-'SOPL (Worst Case Scenario)'!E17</f>
        <v>74785991.137682214</v>
      </c>
      <c r="H3" s="67">
        <f>-'SOPL (Worst Case Scenario)'!F17</f>
        <v>86207587.648334548</v>
      </c>
      <c r="I3" s="67">
        <f>-'SOPL (Worst Case Scenario)'!G17</f>
        <v>99450409.235584736</v>
      </c>
      <c r="J3" s="67">
        <f>-'SOPL (Worst Case Scenario)'!H17</f>
        <v>114555470.62092243</v>
      </c>
      <c r="K3" s="67">
        <f>-'SOPL (Worst Case Scenario)'!I17</f>
        <v>131926291.21406075</v>
      </c>
      <c r="L3" s="67">
        <f>-'SOPL (Worst Case Scenario)'!J17</f>
        <v>151902734.89616987</v>
      </c>
      <c r="M3" s="67">
        <f>-'SOPL (Worst Case Scenario)'!K17</f>
        <v>174875645.13059536</v>
      </c>
    </row>
    <row r="4" spans="1:16" x14ac:dyDescent="0.2">
      <c r="A4" s="65" t="s">
        <v>238</v>
      </c>
      <c r="B4" s="66"/>
      <c r="C4" s="70"/>
      <c r="D4" s="71">
        <f>-'SOPL (Worst Case Scenario)'!B20</f>
        <v>107985.60000000002</v>
      </c>
      <c r="E4" s="71">
        <f>-'SOPL (Worst Case Scenario)'!C20</f>
        <v>1045485.6</v>
      </c>
      <c r="F4" s="71">
        <f>-'SOPL (Worst Case Scenario)'!D20</f>
        <v>1357985.6</v>
      </c>
      <c r="G4" s="71">
        <f>-'SOPL (Worst Case Scenario)'!E20</f>
        <v>1357985.6</v>
      </c>
      <c r="H4" s="71">
        <f>-'SOPL (Worst Case Scenario)'!F20</f>
        <v>1357985.6</v>
      </c>
      <c r="I4" s="71">
        <f>-'SOPL (Worst Case Scenario)'!G20</f>
        <v>1250000</v>
      </c>
      <c r="J4" s="71">
        <f>-'SOPL (Worst Case Scenario)'!H20</f>
        <v>1250000</v>
      </c>
      <c r="K4" s="71">
        <f>-'SOPL (Worst Case Scenario)'!I20</f>
        <v>1250000</v>
      </c>
      <c r="L4" s="71">
        <f>-'SOPL (Worst Case Scenario)'!J20</f>
        <v>1250000</v>
      </c>
      <c r="M4" s="71">
        <f>-'SOPL (Worst Case Scenario)'!K20</f>
        <v>1250000</v>
      </c>
    </row>
    <row r="5" spans="1:16" x14ac:dyDescent="0.2">
      <c r="A5" s="72" t="s">
        <v>239</v>
      </c>
      <c r="B5" s="66"/>
      <c r="C5" s="73">
        <f>C2+C3</f>
        <v>0</v>
      </c>
      <c r="D5" s="74">
        <f>D2-D3+D4</f>
        <v>29421226.743050218</v>
      </c>
      <c r="E5" s="74">
        <f t="shared" ref="E5:M5" si="0">E2-E3+E4</f>
        <v>35677015.074507751</v>
      </c>
      <c r="F5" s="74">
        <f t="shared" si="0"/>
        <v>41339921.655683905</v>
      </c>
      <c r="G5" s="74">
        <f t="shared" si="0"/>
        <v>47133514.224036522</v>
      </c>
      <c r="H5" s="74">
        <f t="shared" si="0"/>
        <v>53796145.67764198</v>
      </c>
      <c r="I5" s="74">
        <f t="shared" si="0"/>
        <v>61242200.649288267</v>
      </c>
      <c r="J5" s="74">
        <f t="shared" si="0"/>
        <v>70053530.746681497</v>
      </c>
      <c r="K5" s="74">
        <f t="shared" si="0"/>
        <v>80186560.358683795</v>
      </c>
      <c r="L5" s="74">
        <f t="shared" si="0"/>
        <v>91839544.412486285</v>
      </c>
      <c r="M5" s="74">
        <f t="shared" si="0"/>
        <v>105240476.07435921</v>
      </c>
      <c r="N5" s="74"/>
      <c r="O5" s="74"/>
      <c r="P5" s="75"/>
    </row>
    <row r="6" spans="1:16" x14ac:dyDescent="0.2">
      <c r="A6" s="65" t="s">
        <v>240</v>
      </c>
      <c r="B6" s="66" t="s">
        <v>241</v>
      </c>
      <c r="C6" s="76">
        <v>-37639942.812306903</v>
      </c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6" x14ac:dyDescent="0.2">
      <c r="A7" s="72" t="s">
        <v>82</v>
      </c>
      <c r="B7" s="66"/>
      <c r="C7" s="73"/>
      <c r="D7" s="74">
        <f>SUM(D5:D6)</f>
        <v>29421226.743050218</v>
      </c>
      <c r="E7" s="74">
        <f t="shared" ref="E7:M7" si="1">SUM(E5:E6)</f>
        <v>35677015.074507751</v>
      </c>
      <c r="F7" s="74">
        <f t="shared" si="1"/>
        <v>41339921.655683905</v>
      </c>
      <c r="G7" s="74">
        <f t="shared" si="1"/>
        <v>47133514.224036522</v>
      </c>
      <c r="H7" s="74">
        <f t="shared" si="1"/>
        <v>53796145.67764198</v>
      </c>
      <c r="I7" s="74">
        <f t="shared" si="1"/>
        <v>61242200.649288267</v>
      </c>
      <c r="J7" s="74">
        <f t="shared" si="1"/>
        <v>70053530.746681497</v>
      </c>
      <c r="K7" s="74">
        <f t="shared" si="1"/>
        <v>80186560.358683795</v>
      </c>
      <c r="L7" s="74">
        <f t="shared" si="1"/>
        <v>91839544.412486285</v>
      </c>
      <c r="M7" s="74">
        <f t="shared" si="1"/>
        <v>105240476.07435921</v>
      </c>
    </row>
    <row r="8" spans="1:16" x14ac:dyDescent="0.2">
      <c r="A8" s="65" t="s">
        <v>242</v>
      </c>
      <c r="C8" s="71"/>
      <c r="D8" s="78">
        <f>D23</f>
        <v>7506964.8206235599</v>
      </c>
      <c r="E8" s="78">
        <f t="shared" ref="E8:M8" si="2">E23</f>
        <v>9139104.470117094</v>
      </c>
      <c r="F8" s="78">
        <f t="shared" si="2"/>
        <v>10635905.247034656</v>
      </c>
      <c r="G8" s="78">
        <f t="shared" si="2"/>
        <v>12171252.840489862</v>
      </c>
      <c r="H8" s="78">
        <f t="shared" si="2"/>
        <v>13933488.692963336</v>
      </c>
      <c r="I8" s="78">
        <f t="shared" si="2"/>
        <v>15958027.831307832</v>
      </c>
      <c r="J8" s="78">
        <f t="shared" si="2"/>
        <v>18327061.843204007</v>
      </c>
      <c r="K8" s="78">
        <f t="shared" si="2"/>
        <v>19894540.692604624</v>
      </c>
      <c r="L8" s="78">
        <f t="shared" si="2"/>
        <v>24109963.326707296</v>
      </c>
      <c r="M8" s="78">
        <f t="shared" si="2"/>
        <v>27675743.508946586</v>
      </c>
    </row>
    <row r="9" spans="1:16" x14ac:dyDescent="0.2">
      <c r="A9" s="72" t="s">
        <v>243</v>
      </c>
      <c r="B9" s="66"/>
      <c r="C9" s="73">
        <f>C6</f>
        <v>-37639942.812306903</v>
      </c>
      <c r="D9" s="74">
        <f>D7-D8</f>
        <v>21914261.922426656</v>
      </c>
      <c r="E9" s="74">
        <f t="shared" ref="E9:M9" si="3">E7-E8</f>
        <v>26537910.604390658</v>
      </c>
      <c r="F9" s="74">
        <f t="shared" si="3"/>
        <v>30704016.408649251</v>
      </c>
      <c r="G9" s="74">
        <f t="shared" si="3"/>
        <v>34962261.383546658</v>
      </c>
      <c r="H9" s="74">
        <f t="shared" si="3"/>
        <v>39862656.984678641</v>
      </c>
      <c r="I9" s="74">
        <f t="shared" si="3"/>
        <v>45284172.817980438</v>
      </c>
      <c r="J9" s="74">
        <f t="shared" si="3"/>
        <v>51726468.90347749</v>
      </c>
      <c r="K9" s="74">
        <f t="shared" si="3"/>
        <v>60292019.666079171</v>
      </c>
      <c r="L9" s="74">
        <f t="shared" si="3"/>
        <v>67729581.085778981</v>
      </c>
      <c r="M9" s="74">
        <f t="shared" si="3"/>
        <v>77564732.565412626</v>
      </c>
    </row>
    <row r="10" spans="1:16" x14ac:dyDescent="0.2">
      <c r="B10" s="66" t="s">
        <v>244</v>
      </c>
      <c r="D10" s="79"/>
      <c r="G10" s="80" t="s">
        <v>333</v>
      </c>
      <c r="H10" s="81"/>
      <c r="L10" s="81"/>
      <c r="M10" s="74">
        <f>M9/(12.3%-10%)</f>
        <v>3372379676.7570696</v>
      </c>
    </row>
    <row r="11" spans="1:16" x14ac:dyDescent="0.2">
      <c r="D11" s="79"/>
      <c r="G11" s="80" t="s">
        <v>245</v>
      </c>
      <c r="H11" s="81"/>
      <c r="L11" s="81"/>
      <c r="M11" s="74">
        <f>-PV(14.5%,15,-M21,0,0)</f>
        <v>0</v>
      </c>
    </row>
    <row r="12" spans="1:16" ht="17" thickBot="1" x14ac:dyDescent="0.25">
      <c r="A12" s="72" t="s">
        <v>246</v>
      </c>
      <c r="D12" s="82">
        <f>NPV(12.3%,C9,D9,E9,F9,G9,H9,I9,L9,J9,K9,M12)</f>
        <v>1108360071.8623059</v>
      </c>
      <c r="E12" s="79"/>
      <c r="F12" s="79"/>
      <c r="G12" s="79"/>
      <c r="H12" s="79"/>
      <c r="I12" s="79"/>
      <c r="J12" s="79"/>
      <c r="K12" s="79"/>
      <c r="L12" s="79"/>
      <c r="M12" s="83">
        <f>M9+M10+M11</f>
        <v>3449944409.3224821</v>
      </c>
    </row>
    <row r="13" spans="1:16" ht="17" thickTop="1" x14ac:dyDescent="0.2">
      <c r="A13" s="72" t="s">
        <v>247</v>
      </c>
      <c r="D13" s="84">
        <f>(C6)</f>
        <v>-37639942.812306903</v>
      </c>
      <c r="E13" s="85" t="s">
        <v>248</v>
      </c>
      <c r="F13" s="79"/>
      <c r="G13" s="79"/>
      <c r="H13" s="79"/>
      <c r="I13" s="79"/>
      <c r="J13" s="79"/>
      <c r="K13" s="79"/>
      <c r="L13" s="79"/>
      <c r="M13" s="79"/>
    </row>
    <row r="14" spans="1:16" x14ac:dyDescent="0.2">
      <c r="A14" s="86" t="s">
        <v>249</v>
      </c>
      <c r="C14" s="84"/>
      <c r="D14" s="79">
        <f>-D12/D13</f>
        <v>29.446380335623466</v>
      </c>
      <c r="E14" s="79"/>
      <c r="F14" s="79"/>
      <c r="G14" s="79"/>
      <c r="H14" s="79"/>
      <c r="I14" s="79"/>
      <c r="J14" s="79"/>
      <c r="K14" s="79"/>
      <c r="L14" s="79"/>
      <c r="M14" s="79"/>
    </row>
    <row r="16" spans="1:16" x14ac:dyDescent="0.2">
      <c r="A16" s="87" t="s">
        <v>250</v>
      </c>
      <c r="D16" s="64" t="s">
        <v>251</v>
      </c>
      <c r="E16" s="64" t="s">
        <v>252</v>
      </c>
      <c r="F16" s="64" t="s">
        <v>253</v>
      </c>
      <c r="G16" s="64" t="s">
        <v>254</v>
      </c>
      <c r="H16" s="64" t="s">
        <v>255</v>
      </c>
      <c r="I16" s="64" t="s">
        <v>256</v>
      </c>
      <c r="J16" s="64" t="s">
        <v>257</v>
      </c>
      <c r="K16" s="64" t="s">
        <v>258</v>
      </c>
      <c r="L16" s="64" t="s">
        <v>259</v>
      </c>
      <c r="M16" s="64" t="s">
        <v>260</v>
      </c>
    </row>
    <row r="17" spans="1:13" x14ac:dyDescent="0.2">
      <c r="A17" s="87" t="s">
        <v>261</v>
      </c>
      <c r="D17" s="88">
        <f t="shared" ref="D17:M17" si="4">D5</f>
        <v>29421226.743050218</v>
      </c>
      <c r="E17" s="88">
        <f t="shared" si="4"/>
        <v>35677015.074507751</v>
      </c>
      <c r="F17" s="88">
        <f t="shared" si="4"/>
        <v>41339921.655683905</v>
      </c>
      <c r="G17" s="88">
        <f t="shared" si="4"/>
        <v>47133514.224036522</v>
      </c>
      <c r="H17" s="88">
        <f t="shared" si="4"/>
        <v>53796145.67764198</v>
      </c>
      <c r="I17" s="88">
        <f t="shared" si="4"/>
        <v>61242200.649288267</v>
      </c>
      <c r="J17" s="88">
        <f t="shared" si="4"/>
        <v>70053530.746681497</v>
      </c>
      <c r="K17" s="88">
        <f t="shared" si="4"/>
        <v>80186560.358683795</v>
      </c>
      <c r="L17" s="88">
        <f t="shared" si="4"/>
        <v>91839544.412486285</v>
      </c>
      <c r="M17" s="88">
        <f t="shared" si="4"/>
        <v>105240476.07435921</v>
      </c>
    </row>
    <row r="18" spans="1:13" x14ac:dyDescent="0.2">
      <c r="A18" s="87" t="s">
        <v>323</v>
      </c>
      <c r="B18" s="135" t="s">
        <v>324</v>
      </c>
      <c r="D18" s="88">
        <f>36*20000</f>
        <v>720000</v>
      </c>
      <c r="E18" s="88">
        <f>D18*1.1</f>
        <v>792000.00000000012</v>
      </c>
      <c r="F18" s="88">
        <f t="shared" ref="F18:M18" si="5">E18*1.1</f>
        <v>871200.00000000023</v>
      </c>
      <c r="G18" s="88">
        <f t="shared" si="5"/>
        <v>958320.00000000035</v>
      </c>
      <c r="H18" s="88">
        <f t="shared" si="5"/>
        <v>1054152.0000000005</v>
      </c>
      <c r="I18" s="88">
        <f t="shared" si="5"/>
        <v>1159567.2000000007</v>
      </c>
      <c r="J18" s="88">
        <f t="shared" si="5"/>
        <v>1275523.9200000009</v>
      </c>
      <c r="K18" s="88">
        <f t="shared" si="5"/>
        <v>1403076.3120000011</v>
      </c>
      <c r="L18" s="88">
        <f t="shared" si="5"/>
        <v>1543383.9432000013</v>
      </c>
      <c r="M18" s="88">
        <f t="shared" si="5"/>
        <v>1697722.3375200015</v>
      </c>
    </row>
    <row r="19" spans="1:13" x14ac:dyDescent="0.2">
      <c r="A19" s="87" t="s">
        <v>332</v>
      </c>
      <c r="B19" s="135" t="s">
        <v>324</v>
      </c>
      <c r="D19" s="88">
        <f>10*20000</f>
        <v>200000</v>
      </c>
      <c r="E19" s="88">
        <f>12*20000</f>
        <v>240000</v>
      </c>
      <c r="F19" s="88">
        <f>14*20000</f>
        <v>280000</v>
      </c>
      <c r="G19" s="88">
        <f>15*20000</f>
        <v>300000</v>
      </c>
      <c r="H19" s="88">
        <f>17*20000</f>
        <v>340000</v>
      </c>
      <c r="I19" s="88">
        <f>19*20000</f>
        <v>380000</v>
      </c>
      <c r="J19" s="88">
        <f>20*20000</f>
        <v>400000</v>
      </c>
      <c r="K19" s="88">
        <f>23*200000</f>
        <v>4600000</v>
      </c>
      <c r="L19" s="88">
        <f>25*20000</f>
        <v>500000</v>
      </c>
      <c r="M19" s="88">
        <f>27*20000</f>
        <v>540000</v>
      </c>
    </row>
    <row r="20" spans="1:13" x14ac:dyDescent="0.2">
      <c r="A20" s="87" t="s">
        <v>329</v>
      </c>
      <c r="D20" s="88">
        <f>'Projected BS'!$C$120*5%</f>
        <v>500000</v>
      </c>
      <c r="E20" s="88">
        <f>'Projected BS'!$C$120*5%</f>
        <v>500000</v>
      </c>
      <c r="F20" s="88">
        <f>'Projected BS'!$C$120*5%</f>
        <v>500000</v>
      </c>
      <c r="G20" s="88">
        <f>'Projected BS'!$C$120*5%</f>
        <v>500000</v>
      </c>
      <c r="H20" s="88">
        <f>'Projected BS'!$C$120*5%</f>
        <v>500000</v>
      </c>
      <c r="I20" s="88">
        <f>'Projected BS'!$C$120*5%</f>
        <v>500000</v>
      </c>
      <c r="J20" s="88">
        <f>'Projected BS'!$C$120*5%</f>
        <v>500000</v>
      </c>
      <c r="K20" s="88">
        <f>'Projected BS'!$C$120*5%</f>
        <v>500000</v>
      </c>
      <c r="L20" s="88">
        <f>'Projected BS'!$C$120*5%</f>
        <v>500000</v>
      </c>
      <c r="M20" s="88">
        <f>'Projected BS'!$C$120*5%</f>
        <v>500000</v>
      </c>
    </row>
    <row r="21" spans="1:13" x14ac:dyDescent="0.2">
      <c r="A21" s="87" t="s">
        <v>262</v>
      </c>
      <c r="D21" s="88">
        <f>1482400/5*8/12</f>
        <v>197653.33333333334</v>
      </c>
      <c r="E21" s="88">
        <f>1482400/5</f>
        <v>296480</v>
      </c>
      <c r="F21" s="88">
        <f>$E$21</f>
        <v>296480</v>
      </c>
      <c r="G21" s="88">
        <f t="shared" ref="G21:H21" si="6">$E$21</f>
        <v>296480</v>
      </c>
      <c r="H21" s="88">
        <f t="shared" si="6"/>
        <v>296480</v>
      </c>
      <c r="I21" s="88">
        <f>1482400/5*4/12</f>
        <v>98826.666666666672</v>
      </c>
      <c r="J21" s="88">
        <v>0</v>
      </c>
      <c r="K21" s="88">
        <v>0</v>
      </c>
      <c r="L21" s="88">
        <v>0</v>
      </c>
      <c r="M21" s="88">
        <v>0</v>
      </c>
    </row>
    <row r="22" spans="1:13" x14ac:dyDescent="0.2">
      <c r="A22" s="87" t="s">
        <v>263</v>
      </c>
      <c r="D22" s="89">
        <f>D17-D21-D18-D19-D20</f>
        <v>27803573.409716886</v>
      </c>
      <c r="E22" s="89">
        <f t="shared" ref="E22:M22" si="7">E17-E21-E18-E19-E20</f>
        <v>33848535.074507751</v>
      </c>
      <c r="F22" s="89">
        <f t="shared" si="7"/>
        <v>39392241.655683905</v>
      </c>
      <c r="G22" s="89">
        <f t="shared" si="7"/>
        <v>45078714.224036522</v>
      </c>
      <c r="H22" s="89">
        <f t="shared" si="7"/>
        <v>51605513.67764198</v>
      </c>
      <c r="I22" s="89">
        <f t="shared" si="7"/>
        <v>59103806.7826216</v>
      </c>
      <c r="J22" s="89">
        <f t="shared" si="7"/>
        <v>67878006.826681495</v>
      </c>
      <c r="K22" s="89">
        <f t="shared" si="7"/>
        <v>73683484.046683788</v>
      </c>
      <c r="L22" s="89">
        <f t="shared" si="7"/>
        <v>89296160.469286278</v>
      </c>
      <c r="M22" s="89">
        <f t="shared" si="7"/>
        <v>102502753.73683921</v>
      </c>
    </row>
    <row r="23" spans="1:13" x14ac:dyDescent="0.2">
      <c r="A23" s="90" t="s">
        <v>264</v>
      </c>
      <c r="D23" s="88">
        <f>D22*27%</f>
        <v>7506964.8206235599</v>
      </c>
      <c r="E23" s="88">
        <f t="shared" ref="E23:M23" si="8">E22*27%</f>
        <v>9139104.470117094</v>
      </c>
      <c r="F23" s="88">
        <f t="shared" si="8"/>
        <v>10635905.247034656</v>
      </c>
      <c r="G23" s="88">
        <f t="shared" si="8"/>
        <v>12171252.840489862</v>
      </c>
      <c r="H23" s="88">
        <f t="shared" si="8"/>
        <v>13933488.692963336</v>
      </c>
      <c r="I23" s="88">
        <f t="shared" si="8"/>
        <v>15958027.831307832</v>
      </c>
      <c r="J23" s="88">
        <f t="shared" si="8"/>
        <v>18327061.843204007</v>
      </c>
      <c r="K23" s="88">
        <f t="shared" si="8"/>
        <v>19894540.692604624</v>
      </c>
      <c r="L23" s="88">
        <f t="shared" si="8"/>
        <v>24109963.326707296</v>
      </c>
      <c r="M23" s="88">
        <f t="shared" si="8"/>
        <v>27675743.508946586</v>
      </c>
    </row>
    <row r="24" spans="1:13" x14ac:dyDescent="0.2">
      <c r="A24" s="87"/>
    </row>
    <row r="25" spans="1:13" x14ac:dyDescent="0.2">
      <c r="A25" s="87"/>
    </row>
    <row r="26" spans="1:13" x14ac:dyDescent="0.2">
      <c r="A26" s="72" t="s">
        <v>233</v>
      </c>
      <c r="C26" s="91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pans="1:13" x14ac:dyDescent="0.2">
      <c r="A27" s="66" t="s">
        <v>235</v>
      </c>
      <c r="B27" s="92" t="s">
        <v>330</v>
      </c>
      <c r="D27" s="93"/>
    </row>
    <row r="28" spans="1:13" x14ac:dyDescent="0.2">
      <c r="A28" s="66" t="s">
        <v>237</v>
      </c>
      <c r="B28" s="92" t="s">
        <v>331</v>
      </c>
      <c r="D28" s="93"/>
    </row>
    <row r="29" spans="1:13" x14ac:dyDescent="0.2">
      <c r="A29" s="66" t="s">
        <v>241</v>
      </c>
      <c r="B29" s="92" t="s">
        <v>325</v>
      </c>
      <c r="D29" s="93"/>
    </row>
    <row r="30" spans="1:13" x14ac:dyDescent="0.2">
      <c r="A30" s="66" t="s">
        <v>244</v>
      </c>
      <c r="B30" s="92" t="s">
        <v>334</v>
      </c>
    </row>
    <row r="31" spans="1:13" x14ac:dyDescent="0.2">
      <c r="A31" s="135" t="s">
        <v>324</v>
      </c>
      <c r="B31" s="92" t="s">
        <v>328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FD24-6BE4-D743-91B7-2C80F0EB22AB}">
  <sheetPr>
    <tabColor theme="9"/>
  </sheetPr>
  <dimension ref="A1:I180"/>
  <sheetViews>
    <sheetView tabSelected="1" zoomScale="80" zoomScaleNormal="80" workbookViewId="0">
      <selection activeCell="A11" sqref="A11"/>
    </sheetView>
  </sheetViews>
  <sheetFormatPr baseColWidth="10" defaultRowHeight="16" x14ac:dyDescent="0.2"/>
  <cols>
    <col min="1" max="1" width="136.5" style="5" bestFit="1" customWidth="1"/>
    <col min="2" max="2" width="20.33203125" style="5" bestFit="1" customWidth="1"/>
    <col min="3" max="3" width="22.83203125" style="5" bestFit="1" customWidth="1"/>
    <col min="4" max="16384" width="10.83203125" style="5"/>
  </cols>
  <sheetData>
    <row r="1" spans="1:1" x14ac:dyDescent="0.2">
      <c r="A1" s="4" t="s">
        <v>0</v>
      </c>
    </row>
    <row r="2" spans="1:1" x14ac:dyDescent="0.2">
      <c r="A2" s="2"/>
    </row>
    <row r="3" spans="1:1" x14ac:dyDescent="0.2">
      <c r="A3" s="3" t="s">
        <v>352</v>
      </c>
    </row>
    <row r="4" spans="1:1" x14ac:dyDescent="0.2">
      <c r="A4" s="3" t="s">
        <v>353</v>
      </c>
    </row>
    <row r="5" spans="1:1" x14ac:dyDescent="0.2">
      <c r="A5" s="3" t="s">
        <v>354</v>
      </c>
    </row>
    <row r="6" spans="1:1" x14ac:dyDescent="0.2">
      <c r="A6" s="3" t="s">
        <v>355</v>
      </c>
    </row>
    <row r="7" spans="1:1" x14ac:dyDescent="0.2">
      <c r="A7" s="3" t="s">
        <v>356</v>
      </c>
    </row>
    <row r="8" spans="1:1" x14ac:dyDescent="0.2">
      <c r="A8" s="3" t="s">
        <v>362</v>
      </c>
    </row>
    <row r="9" spans="1:1" x14ac:dyDescent="0.2">
      <c r="A9" s="3" t="s">
        <v>365</v>
      </c>
    </row>
    <row r="10" spans="1:1" x14ac:dyDescent="0.2">
      <c r="A10" s="3" t="s">
        <v>366</v>
      </c>
    </row>
    <row r="11" spans="1:1" x14ac:dyDescent="0.2">
      <c r="A11" s="2"/>
    </row>
    <row r="12" spans="1:1" ht="21" x14ac:dyDescent="0.2">
      <c r="A12" s="7" t="s">
        <v>30</v>
      </c>
    </row>
    <row r="13" spans="1:1" x14ac:dyDescent="0.2">
      <c r="A13" s="3" t="s">
        <v>359</v>
      </c>
    </row>
    <row r="14" spans="1:1" x14ac:dyDescent="0.2">
      <c r="A14" s="3" t="s">
        <v>360</v>
      </c>
    </row>
    <row r="15" spans="1:1" x14ac:dyDescent="0.2">
      <c r="A15" s="3" t="s">
        <v>361</v>
      </c>
    </row>
    <row r="16" spans="1:1" x14ac:dyDescent="0.2">
      <c r="A16" s="6" t="s">
        <v>363</v>
      </c>
    </row>
    <row r="17" spans="1:3" x14ac:dyDescent="0.2">
      <c r="A17" s="3" t="s">
        <v>364</v>
      </c>
      <c r="B17" s="4" t="s">
        <v>4</v>
      </c>
      <c r="C17" s="4" t="s">
        <v>23</v>
      </c>
    </row>
    <row r="18" spans="1:3" s="1" customFormat="1" x14ac:dyDescent="0.2">
      <c r="A18" s="3"/>
      <c r="B18" s="5"/>
    </row>
    <row r="19" spans="1:3" s="1" customFormat="1" x14ac:dyDescent="0.2">
      <c r="A19" s="3"/>
      <c r="B19" s="5"/>
    </row>
    <row r="20" spans="1:3" s="1" customFormat="1" x14ac:dyDescent="0.2">
      <c r="A20" s="3"/>
      <c r="B20" s="5"/>
    </row>
    <row r="21" spans="1:3" s="1" customFormat="1" x14ac:dyDescent="0.2">
      <c r="A21" s="3"/>
      <c r="B21" s="5"/>
    </row>
    <row r="22" spans="1:3" s="1" customFormat="1" x14ac:dyDescent="0.2">
      <c r="A22" s="3"/>
      <c r="B22" s="5"/>
    </row>
    <row r="23" spans="1:3" s="1" customFormat="1" x14ac:dyDescent="0.2">
      <c r="A23" s="3"/>
      <c r="B23" s="5"/>
    </row>
    <row r="24" spans="1:3" s="1" customFormat="1" x14ac:dyDescent="0.2">
      <c r="A24" s="3"/>
      <c r="B24" s="5">
        <f>AVERAGE(1000,3000)</f>
        <v>2000</v>
      </c>
    </row>
    <row r="25" spans="1:3" s="1" customFormat="1" x14ac:dyDescent="0.2">
      <c r="A25" s="3"/>
      <c r="B25" s="5"/>
    </row>
    <row r="26" spans="1:3" x14ac:dyDescent="0.2">
      <c r="A26" s="3" t="s">
        <v>2</v>
      </c>
    </row>
    <row r="27" spans="1:3" x14ac:dyDescent="0.2">
      <c r="A27" s="3" t="s">
        <v>9</v>
      </c>
    </row>
    <row r="28" spans="1:3" x14ac:dyDescent="0.2">
      <c r="A28" s="3" t="s">
        <v>8</v>
      </c>
    </row>
    <row r="29" spans="1:3" x14ac:dyDescent="0.2">
      <c r="A29" s="3" t="s">
        <v>10</v>
      </c>
    </row>
    <row r="30" spans="1:3" x14ac:dyDescent="0.2">
      <c r="A30" s="3" t="s">
        <v>6</v>
      </c>
    </row>
    <row r="31" spans="1:3" x14ac:dyDescent="0.2">
      <c r="A31" s="3" t="s">
        <v>7</v>
      </c>
    </row>
    <row r="32" spans="1:3" x14ac:dyDescent="0.2">
      <c r="A32" s="3" t="s">
        <v>11</v>
      </c>
      <c r="B32" s="5">
        <f>AVERAGE(1500,4500)</f>
        <v>3000</v>
      </c>
    </row>
    <row r="33" spans="1:2" x14ac:dyDescent="0.2">
      <c r="A33" s="3"/>
    </row>
    <row r="34" spans="1:2" x14ac:dyDescent="0.2">
      <c r="A34" s="3" t="s">
        <v>3</v>
      </c>
    </row>
    <row r="35" spans="1:2" x14ac:dyDescent="0.2">
      <c r="A35" s="3" t="s">
        <v>9</v>
      </c>
    </row>
    <row r="36" spans="1:2" x14ac:dyDescent="0.2">
      <c r="A36" s="3" t="s">
        <v>8</v>
      </c>
    </row>
    <row r="37" spans="1:2" x14ac:dyDescent="0.2">
      <c r="A37" s="3" t="s">
        <v>10</v>
      </c>
    </row>
    <row r="38" spans="1:2" x14ac:dyDescent="0.2">
      <c r="A38" s="3" t="s">
        <v>6</v>
      </c>
    </row>
    <row r="39" spans="1:2" x14ac:dyDescent="0.2">
      <c r="A39" s="3" t="s">
        <v>7</v>
      </c>
    </row>
    <row r="40" spans="1:2" x14ac:dyDescent="0.2">
      <c r="A40" s="3" t="s">
        <v>11</v>
      </c>
      <c r="B40" s="5">
        <f>AVERAGE(1500,4500)</f>
        <v>3000</v>
      </c>
    </row>
    <row r="41" spans="1:2" x14ac:dyDescent="0.2">
      <c r="A41" s="2"/>
    </row>
    <row r="42" spans="1:2" x14ac:dyDescent="0.2">
      <c r="A42" s="3" t="s">
        <v>5</v>
      </c>
    </row>
    <row r="43" spans="1:2" x14ac:dyDescent="0.2">
      <c r="A43" s="3" t="s">
        <v>13</v>
      </c>
    </row>
    <row r="44" spans="1:2" x14ac:dyDescent="0.2">
      <c r="A44" s="3" t="s">
        <v>12</v>
      </c>
    </row>
    <row r="45" spans="1:2" x14ac:dyDescent="0.2">
      <c r="A45" s="3" t="s">
        <v>8</v>
      </c>
    </row>
    <row r="46" spans="1:2" x14ac:dyDescent="0.2">
      <c r="A46" s="3" t="s">
        <v>10</v>
      </c>
    </row>
    <row r="47" spans="1:2" x14ac:dyDescent="0.2">
      <c r="A47" s="3" t="s">
        <v>6</v>
      </c>
    </row>
    <row r="48" spans="1:2" x14ac:dyDescent="0.2">
      <c r="A48" s="3" t="s">
        <v>7</v>
      </c>
    </row>
    <row r="49" spans="1:2" x14ac:dyDescent="0.2">
      <c r="A49" s="3" t="s">
        <v>15</v>
      </c>
      <c r="B49" s="5">
        <f>AVERAGE(300,1500)</f>
        <v>900</v>
      </c>
    </row>
    <row r="50" spans="1:2" x14ac:dyDescent="0.2">
      <c r="A50" s="3"/>
    </row>
    <row r="51" spans="1:2" x14ac:dyDescent="0.2">
      <c r="A51" s="3" t="s">
        <v>14</v>
      </c>
    </row>
    <row r="52" spans="1:2" x14ac:dyDescent="0.2">
      <c r="A52" s="3" t="s">
        <v>12</v>
      </c>
    </row>
    <row r="53" spans="1:2" x14ac:dyDescent="0.2">
      <c r="A53" s="3" t="s">
        <v>8</v>
      </c>
    </row>
    <row r="54" spans="1:2" x14ac:dyDescent="0.2">
      <c r="A54" s="3" t="s">
        <v>10</v>
      </c>
    </row>
    <row r="55" spans="1:2" x14ac:dyDescent="0.2">
      <c r="A55" s="3" t="s">
        <v>6</v>
      </c>
    </row>
    <row r="56" spans="1:2" x14ac:dyDescent="0.2">
      <c r="A56" s="3" t="s">
        <v>7</v>
      </c>
    </row>
    <row r="57" spans="1:2" x14ac:dyDescent="0.2">
      <c r="A57" s="3" t="s">
        <v>16</v>
      </c>
      <c r="B57" s="5">
        <f>AVERAGE(200,900)</f>
        <v>550</v>
      </c>
    </row>
    <row r="58" spans="1:2" x14ac:dyDescent="0.2">
      <c r="A58" s="3"/>
    </row>
    <row r="59" spans="1:2" x14ac:dyDescent="0.2">
      <c r="A59" s="3" t="s">
        <v>24</v>
      </c>
    </row>
    <row r="60" spans="1:2" x14ac:dyDescent="0.2">
      <c r="A60" s="3" t="s">
        <v>17</v>
      </c>
    </row>
    <row r="61" spans="1:2" x14ac:dyDescent="0.2">
      <c r="A61" s="3" t="s">
        <v>18</v>
      </c>
    </row>
    <row r="62" spans="1:2" x14ac:dyDescent="0.2">
      <c r="A62" s="3" t="s">
        <v>8</v>
      </c>
    </row>
    <row r="63" spans="1:2" x14ac:dyDescent="0.2">
      <c r="A63" s="3" t="s">
        <v>19</v>
      </c>
    </row>
    <row r="64" spans="1:2" x14ac:dyDescent="0.2">
      <c r="A64" s="3" t="s">
        <v>20</v>
      </c>
    </row>
    <row r="65" spans="1:3" x14ac:dyDescent="0.2">
      <c r="A65" s="3" t="s">
        <v>21</v>
      </c>
    </row>
    <row r="66" spans="1:3" x14ac:dyDescent="0.2">
      <c r="A66" s="3" t="s">
        <v>22</v>
      </c>
      <c r="C66" s="5">
        <f>AVERAGE(85,185)</f>
        <v>135</v>
      </c>
    </row>
    <row r="67" spans="1:3" x14ac:dyDescent="0.2">
      <c r="A67" s="3" t="s">
        <v>152</v>
      </c>
      <c r="C67" s="5">
        <f>AVERAGE(10,100)</f>
        <v>55</v>
      </c>
    </row>
    <row r="68" spans="1:3" x14ac:dyDescent="0.2">
      <c r="A68" s="3"/>
    </row>
    <row r="69" spans="1:3" x14ac:dyDescent="0.2">
      <c r="A69" s="3" t="s">
        <v>153</v>
      </c>
      <c r="B69" s="5">
        <f>C67*C66</f>
        <v>7425</v>
      </c>
    </row>
    <row r="70" spans="1:3" x14ac:dyDescent="0.2">
      <c r="A70" s="3"/>
    </row>
    <row r="71" spans="1:3" x14ac:dyDescent="0.2">
      <c r="A71" s="3" t="s">
        <v>25</v>
      </c>
    </row>
    <row r="72" spans="1:3" x14ac:dyDescent="0.2">
      <c r="A72" s="3" t="s">
        <v>12</v>
      </c>
    </row>
    <row r="73" spans="1:3" x14ac:dyDescent="0.2">
      <c r="A73" s="3" t="s">
        <v>8</v>
      </c>
    </row>
    <row r="74" spans="1:3" x14ac:dyDescent="0.2">
      <c r="A74" s="3" t="s">
        <v>10</v>
      </c>
    </row>
    <row r="75" spans="1:3" x14ac:dyDescent="0.2">
      <c r="A75" s="3" t="s">
        <v>6</v>
      </c>
    </row>
    <row r="76" spans="1:3" x14ac:dyDescent="0.2">
      <c r="A76" s="3" t="s">
        <v>7</v>
      </c>
    </row>
    <row r="77" spans="1:3" x14ac:dyDescent="0.2">
      <c r="A77" s="3" t="s">
        <v>26</v>
      </c>
      <c r="B77" s="5">
        <f>AVERAGE(900,1600)</f>
        <v>1250</v>
      </c>
    </row>
    <row r="78" spans="1:3" x14ac:dyDescent="0.2">
      <c r="A78" s="3"/>
    </row>
    <row r="79" spans="1:3" x14ac:dyDescent="0.2">
      <c r="A79" s="3" t="s">
        <v>56</v>
      </c>
    </row>
    <row r="80" spans="1:3" x14ac:dyDescent="0.2">
      <c r="A80" s="3" t="s">
        <v>12</v>
      </c>
    </row>
    <row r="81" spans="1:3" x14ac:dyDescent="0.2">
      <c r="A81" s="3" t="s">
        <v>8</v>
      </c>
    </row>
    <row r="82" spans="1:3" x14ac:dyDescent="0.2">
      <c r="A82" s="3" t="s">
        <v>10</v>
      </c>
    </row>
    <row r="83" spans="1:3" x14ac:dyDescent="0.2">
      <c r="A83" s="3" t="s">
        <v>6</v>
      </c>
    </row>
    <row r="84" spans="1:3" x14ac:dyDescent="0.2">
      <c r="A84" s="3" t="s">
        <v>7</v>
      </c>
    </row>
    <row r="85" spans="1:3" x14ac:dyDescent="0.2">
      <c r="A85" s="3" t="s">
        <v>27</v>
      </c>
      <c r="B85" s="5">
        <f>AVERAGE(800,1200)</f>
        <v>1000</v>
      </c>
    </row>
    <row r="86" spans="1:3" x14ac:dyDescent="0.2">
      <c r="A86" s="3"/>
    </row>
    <row r="87" spans="1:3" x14ac:dyDescent="0.2">
      <c r="A87" s="5" t="s">
        <v>57</v>
      </c>
      <c r="B87" s="5">
        <v>350</v>
      </c>
    </row>
    <row r="89" spans="1:3" x14ac:dyDescent="0.2">
      <c r="A89" s="5" t="s">
        <v>336</v>
      </c>
    </row>
    <row r="90" spans="1:3" x14ac:dyDescent="0.2">
      <c r="A90" s="5" t="s">
        <v>337</v>
      </c>
    </row>
    <row r="91" spans="1:3" x14ac:dyDescent="0.2">
      <c r="A91" s="5" t="s">
        <v>338</v>
      </c>
      <c r="B91" s="144"/>
      <c r="C91" s="5" t="s">
        <v>343</v>
      </c>
    </row>
    <row r="92" spans="1:3" x14ac:dyDescent="0.2">
      <c r="A92" s="5" t="s">
        <v>339</v>
      </c>
      <c r="B92" s="144"/>
    </row>
    <row r="93" spans="1:3" x14ac:dyDescent="0.2">
      <c r="A93" s="5" t="s">
        <v>340</v>
      </c>
      <c r="B93" s="144"/>
    </row>
    <row r="94" spans="1:3" x14ac:dyDescent="0.2">
      <c r="A94" s="5" t="s">
        <v>341</v>
      </c>
      <c r="B94" s="144"/>
    </row>
    <row r="95" spans="1:3" x14ac:dyDescent="0.2">
      <c r="A95" s="5" t="s">
        <v>342</v>
      </c>
      <c r="B95" s="144"/>
    </row>
    <row r="97" spans="1:2" x14ac:dyDescent="0.2">
      <c r="A97" s="5" t="s">
        <v>154</v>
      </c>
    </row>
    <row r="99" spans="1:2" x14ac:dyDescent="0.2">
      <c r="A99" s="4" t="s">
        <v>31</v>
      </c>
      <c r="B99" s="5" t="s">
        <v>43</v>
      </c>
    </row>
    <row r="100" spans="1:2" x14ac:dyDescent="0.2">
      <c r="A100" s="5" t="s">
        <v>32</v>
      </c>
    </row>
    <row r="101" spans="1:2" x14ac:dyDescent="0.2">
      <c r="A101" s="5" t="s">
        <v>34</v>
      </c>
      <c r="B101" s="5">
        <f>AVERAGE(12,72)</f>
        <v>42</v>
      </c>
    </row>
    <row r="103" spans="1:2" x14ac:dyDescent="0.2">
      <c r="A103" s="5" t="s">
        <v>112</v>
      </c>
    </row>
    <row r="104" spans="1:2" x14ac:dyDescent="0.2">
      <c r="A104" s="5" t="s">
        <v>35</v>
      </c>
      <c r="B104" s="5">
        <f>AVERAGE(40,120)</f>
        <v>80</v>
      </c>
    </row>
    <row r="106" spans="1:2" x14ac:dyDescent="0.2">
      <c r="A106" s="5" t="s">
        <v>33</v>
      </c>
    </row>
    <row r="107" spans="1:2" x14ac:dyDescent="0.2">
      <c r="A107" s="5" t="s">
        <v>36</v>
      </c>
      <c r="B107" s="5">
        <f>AVERAGE(72,180)</f>
        <v>126</v>
      </c>
    </row>
    <row r="109" spans="1:2" x14ac:dyDescent="0.2">
      <c r="A109" s="5" t="s">
        <v>171</v>
      </c>
      <c r="B109" s="5">
        <v>3</v>
      </c>
    </row>
    <row r="110" spans="1:2" x14ac:dyDescent="0.2">
      <c r="A110" s="5" t="s">
        <v>172</v>
      </c>
    </row>
    <row r="113" spans="1:3" x14ac:dyDescent="0.2">
      <c r="A113" s="4" t="s">
        <v>37</v>
      </c>
    </row>
    <row r="114" spans="1:3" x14ac:dyDescent="0.2">
      <c r="A114" s="5" t="s">
        <v>42</v>
      </c>
    </row>
    <row r="115" spans="1:3" x14ac:dyDescent="0.2">
      <c r="A115" s="5" t="s">
        <v>38</v>
      </c>
    </row>
    <row r="116" spans="1:3" x14ac:dyDescent="0.2">
      <c r="A116" s="5" t="s">
        <v>39</v>
      </c>
    </row>
    <row r="117" spans="1:3" x14ac:dyDescent="0.2">
      <c r="A117" s="5" t="s">
        <v>40</v>
      </c>
    </row>
    <row r="118" spans="1:3" x14ac:dyDescent="0.2">
      <c r="A118" s="5" t="s">
        <v>41</v>
      </c>
    </row>
    <row r="121" spans="1:3" ht="21" x14ac:dyDescent="0.25">
      <c r="A121" s="8" t="s">
        <v>58</v>
      </c>
      <c r="B121" s="4" t="s">
        <v>266</v>
      </c>
      <c r="C121" s="4" t="s">
        <v>267</v>
      </c>
    </row>
    <row r="122" spans="1:3" s="1" customFormat="1" x14ac:dyDescent="0.2">
      <c r="A122" s="3" t="s">
        <v>59</v>
      </c>
      <c r="B122" s="49">
        <v>414720</v>
      </c>
      <c r="C122" s="94">
        <f>B122/2</f>
        <v>207360</v>
      </c>
    </row>
    <row r="123" spans="1:3" x14ac:dyDescent="0.2">
      <c r="A123" s="3" t="s">
        <v>60</v>
      </c>
      <c r="B123" s="50">
        <f>AVERAGE(3.2,4.4,7)</f>
        <v>4.8666666666666671</v>
      </c>
      <c r="C123" s="95">
        <v>4.9000000000000002E-2</v>
      </c>
    </row>
    <row r="124" spans="1:3" x14ac:dyDescent="0.2">
      <c r="A124" s="3"/>
    </row>
    <row r="125" spans="1:3" x14ac:dyDescent="0.2">
      <c r="A125" s="3" t="s">
        <v>61</v>
      </c>
    </row>
    <row r="126" spans="1:3" x14ac:dyDescent="0.2">
      <c r="A126" s="3" t="s">
        <v>62</v>
      </c>
    </row>
    <row r="127" spans="1:3" x14ac:dyDescent="0.2">
      <c r="A127" s="3" t="s">
        <v>131</v>
      </c>
    </row>
    <row r="128" spans="1:3" x14ac:dyDescent="0.2">
      <c r="A128" s="3" t="s">
        <v>135</v>
      </c>
    </row>
    <row r="129" spans="1:4" x14ac:dyDescent="0.2">
      <c r="A129" s="3" t="s">
        <v>160</v>
      </c>
      <c r="B129" s="48">
        <v>58673250.569196433</v>
      </c>
      <c r="C129" s="96">
        <v>31677368.303571429</v>
      </c>
      <c r="D129" s="142" t="s">
        <v>159</v>
      </c>
    </row>
    <row r="130" spans="1:4" x14ac:dyDescent="0.2">
      <c r="A130" s="3" t="s">
        <v>161</v>
      </c>
      <c r="B130" s="48">
        <f>B129/12</f>
        <v>4889437.5474330364</v>
      </c>
      <c r="C130" s="48">
        <f>C129/12</f>
        <v>2639780.6919642859</v>
      </c>
    </row>
    <row r="131" spans="1:4" x14ac:dyDescent="0.2">
      <c r="A131" s="3"/>
      <c r="B131" s="48"/>
    </row>
    <row r="132" spans="1:4" x14ac:dyDescent="0.2">
      <c r="A132" s="3"/>
      <c r="B132" s="48"/>
    </row>
    <row r="133" spans="1:4" x14ac:dyDescent="0.2">
      <c r="A133" s="3" t="s">
        <v>155</v>
      </c>
      <c r="B133" s="48">
        <v>2500</v>
      </c>
      <c r="C133" s="5" t="s">
        <v>161</v>
      </c>
    </row>
    <row r="134" spans="1:4" x14ac:dyDescent="0.2">
      <c r="A134" s="3" t="s">
        <v>60</v>
      </c>
    </row>
    <row r="135" spans="1:4" x14ac:dyDescent="0.2">
      <c r="A135" s="3"/>
    </row>
    <row r="136" spans="1:4" x14ac:dyDescent="0.2">
      <c r="A136" s="3" t="s">
        <v>156</v>
      </c>
    </row>
    <row r="137" spans="1:4" x14ac:dyDescent="0.2">
      <c r="A137" s="3" t="s">
        <v>157</v>
      </c>
      <c r="B137" s="48">
        <f>B122*0.5%</f>
        <v>2073.6</v>
      </c>
      <c r="C137" s="5" t="s">
        <v>161</v>
      </c>
    </row>
    <row r="138" spans="1:4" x14ac:dyDescent="0.2">
      <c r="A138" s="3" t="s">
        <v>158</v>
      </c>
    </row>
    <row r="139" spans="1:4" x14ac:dyDescent="0.2">
      <c r="A139" s="3"/>
    </row>
    <row r="140" spans="1:4" x14ac:dyDescent="0.2">
      <c r="A140" s="3" t="s">
        <v>77</v>
      </c>
    </row>
    <row r="141" spans="1:4" x14ac:dyDescent="0.2">
      <c r="A141" s="3" t="s">
        <v>169</v>
      </c>
      <c r="B141" s="51">
        <f>B122*10%</f>
        <v>41472</v>
      </c>
      <c r="C141" s="51">
        <f>C122*10%</f>
        <v>20736</v>
      </c>
    </row>
    <row r="142" spans="1:4" x14ac:dyDescent="0.2">
      <c r="A142" s="3"/>
    </row>
    <row r="143" spans="1:4" x14ac:dyDescent="0.2">
      <c r="A143" s="3" t="s">
        <v>78</v>
      </c>
      <c r="B143" s="48">
        <v>550</v>
      </c>
      <c r="C143" s="5" t="s">
        <v>161</v>
      </c>
    </row>
    <row r="144" spans="1:4" x14ac:dyDescent="0.2">
      <c r="A144" s="3"/>
      <c r="B144" s="48"/>
    </row>
    <row r="145" spans="1:6" x14ac:dyDescent="0.2">
      <c r="A145" s="3" t="s">
        <v>170</v>
      </c>
      <c r="B145" s="48">
        <v>15000</v>
      </c>
      <c r="C145" s="5" t="s">
        <v>161</v>
      </c>
    </row>
    <row r="146" spans="1:6" x14ac:dyDescent="0.2">
      <c r="A146" s="3"/>
    </row>
    <row r="147" spans="1:6" x14ac:dyDescent="0.2">
      <c r="A147" s="3" t="s">
        <v>136</v>
      </c>
      <c r="B147" s="4" t="s">
        <v>163</v>
      </c>
      <c r="C147" s="4" t="s">
        <v>164</v>
      </c>
    </row>
    <row r="148" spans="1:6" x14ac:dyDescent="0.2">
      <c r="A148" s="3" t="s">
        <v>137</v>
      </c>
      <c r="B148" s="48">
        <v>69734.42522321429</v>
      </c>
      <c r="C148" s="48">
        <v>30981.02678571429</v>
      </c>
    </row>
    <row r="149" spans="1:6" x14ac:dyDescent="0.2">
      <c r="A149" s="3" t="s">
        <v>138</v>
      </c>
      <c r="B149" s="48">
        <v>67050</v>
      </c>
      <c r="C149" s="48">
        <v>32400</v>
      </c>
    </row>
    <row r="150" spans="1:6" x14ac:dyDescent="0.2">
      <c r="A150" s="3" t="s">
        <v>139</v>
      </c>
      <c r="B150" s="48">
        <v>546</v>
      </c>
      <c r="C150" s="48">
        <v>546</v>
      </c>
    </row>
    <row r="151" spans="1:6" x14ac:dyDescent="0.2">
      <c r="A151" s="5" t="s">
        <v>140</v>
      </c>
      <c r="B151" s="48">
        <v>3012000</v>
      </c>
      <c r="C151" s="48">
        <v>1026750</v>
      </c>
    </row>
    <row r="152" spans="1:6" x14ac:dyDescent="0.2">
      <c r="A152" s="5" t="s">
        <v>141</v>
      </c>
      <c r="B152" s="48">
        <v>119051</v>
      </c>
      <c r="C152" s="48">
        <v>57528</v>
      </c>
      <c r="F152" s="48"/>
    </row>
    <row r="153" spans="1:6" x14ac:dyDescent="0.2">
      <c r="A153" s="5" t="s">
        <v>142</v>
      </c>
      <c r="B153" s="48">
        <v>67050</v>
      </c>
      <c r="C153" s="48">
        <v>32400</v>
      </c>
    </row>
    <row r="154" spans="1:6" x14ac:dyDescent="0.2">
      <c r="A154" s="5" t="s">
        <v>143</v>
      </c>
      <c r="B154" s="48"/>
      <c r="C154" s="48"/>
    </row>
    <row r="155" spans="1:6" x14ac:dyDescent="0.2">
      <c r="A155" s="5" t="s">
        <v>167</v>
      </c>
      <c r="B155" s="48">
        <f>AVERAGE(142,320)</f>
        <v>231</v>
      </c>
      <c r="C155" s="48"/>
    </row>
    <row r="156" spans="1:6" x14ac:dyDescent="0.2">
      <c r="A156" s="5" t="s">
        <v>168</v>
      </c>
      <c r="B156" s="97">
        <v>139</v>
      </c>
      <c r="C156" s="97">
        <v>62</v>
      </c>
    </row>
    <row r="157" spans="1:6" x14ac:dyDescent="0.2">
      <c r="A157" s="5" t="s">
        <v>110</v>
      </c>
      <c r="B157" s="48">
        <f>B155*B156</f>
        <v>32109</v>
      </c>
      <c r="C157" s="48">
        <f>B155*C156</f>
        <v>14322</v>
      </c>
    </row>
    <row r="158" spans="1:6" x14ac:dyDescent="0.2">
      <c r="B158" s="48"/>
      <c r="C158" s="48"/>
    </row>
    <row r="159" spans="1:6" x14ac:dyDescent="0.2">
      <c r="A159" s="5" t="s">
        <v>144</v>
      </c>
      <c r="B159" s="48">
        <v>595851</v>
      </c>
      <c r="C159" s="48">
        <v>287928</v>
      </c>
      <c r="F159" s="48"/>
    </row>
    <row r="160" spans="1:6" x14ac:dyDescent="0.2">
      <c r="A160" s="5" t="s">
        <v>145</v>
      </c>
      <c r="B160" s="48">
        <v>2100</v>
      </c>
      <c r="C160" s="48">
        <v>2100</v>
      </c>
    </row>
    <row r="161" spans="1:9" x14ac:dyDescent="0.2">
      <c r="A161" s="5" t="s">
        <v>146</v>
      </c>
      <c r="B161" s="48">
        <v>20000</v>
      </c>
      <c r="C161" s="48">
        <v>20000</v>
      </c>
    </row>
    <row r="162" spans="1:9" x14ac:dyDescent="0.2">
      <c r="A162" s="5" t="s">
        <v>147</v>
      </c>
      <c r="B162" s="48">
        <v>500</v>
      </c>
      <c r="C162" s="48">
        <v>500</v>
      </c>
    </row>
    <row r="163" spans="1:9" x14ac:dyDescent="0.2">
      <c r="A163" s="1" t="s">
        <v>165</v>
      </c>
      <c r="B163" s="48">
        <v>1548</v>
      </c>
      <c r="C163" s="48">
        <v>1548</v>
      </c>
    </row>
    <row r="164" spans="1:9" x14ac:dyDescent="0.2">
      <c r="A164" s="1" t="s">
        <v>166</v>
      </c>
      <c r="B164" s="48">
        <v>6000</v>
      </c>
      <c r="C164" s="48">
        <v>6000</v>
      </c>
    </row>
    <row r="165" spans="1:9" x14ac:dyDescent="0.2">
      <c r="A165" s="1"/>
      <c r="B165" s="143">
        <f>SUM(B148:B153,B157,(B159/12),B160,B161,B163,B164,(B162/12))</f>
        <v>3446884.3418898806</v>
      </c>
      <c r="C165" s="143">
        <f>SUM(C148:C153,C157,(C159/12),C160,C161,C163,C164,(C162/12))</f>
        <v>1248610.6934523811</v>
      </c>
    </row>
    <row r="166" spans="1:9" x14ac:dyDescent="0.2">
      <c r="A166" s="3" t="s">
        <v>158</v>
      </c>
      <c r="B166" s="48"/>
      <c r="C166" s="48"/>
    </row>
    <row r="167" spans="1:9" x14ac:dyDescent="0.2">
      <c r="A167" s="3"/>
      <c r="B167" s="48"/>
      <c r="C167" s="48"/>
      <c r="I167" s="48"/>
    </row>
    <row r="168" spans="1:9" x14ac:dyDescent="0.2">
      <c r="A168" s="3"/>
      <c r="B168" s="48"/>
      <c r="C168" s="48"/>
    </row>
    <row r="169" spans="1:9" x14ac:dyDescent="0.2">
      <c r="A169" s="5" t="s">
        <v>88</v>
      </c>
      <c r="B169" s="48">
        <v>150000</v>
      </c>
      <c r="C169" s="48">
        <v>75000</v>
      </c>
      <c r="D169" s="5" t="s">
        <v>222</v>
      </c>
    </row>
    <row r="170" spans="1:9" x14ac:dyDescent="0.2">
      <c r="A170" s="5" t="s">
        <v>148</v>
      </c>
      <c r="B170" s="48">
        <v>253753.25</v>
      </c>
      <c r="C170" s="48">
        <f>B170*50%</f>
        <v>126876.625</v>
      </c>
      <c r="D170" s="5" t="s">
        <v>222</v>
      </c>
    </row>
    <row r="171" spans="1:9" x14ac:dyDescent="0.2">
      <c r="A171" s="5" t="s">
        <v>221</v>
      </c>
      <c r="B171" s="48">
        <v>33023.4</v>
      </c>
      <c r="C171" s="48">
        <v>33023.4</v>
      </c>
      <c r="D171" s="5" t="s">
        <v>161</v>
      </c>
    </row>
    <row r="172" spans="1:9" x14ac:dyDescent="0.2">
      <c r="B172" s="48"/>
      <c r="C172" s="48"/>
    </row>
    <row r="173" spans="1:9" x14ac:dyDescent="0.2">
      <c r="A173" s="5" t="s">
        <v>149</v>
      </c>
      <c r="B173" s="48"/>
      <c r="C173" s="48"/>
    </row>
    <row r="174" spans="1:9" x14ac:dyDescent="0.2">
      <c r="A174" s="5" t="s">
        <v>150</v>
      </c>
      <c r="B174" s="48">
        <v>159704.69309219869</v>
      </c>
      <c r="C174" s="48">
        <v>63733.697363839288</v>
      </c>
      <c r="D174" s="5" t="s">
        <v>223</v>
      </c>
    </row>
    <row r="175" spans="1:9" x14ac:dyDescent="0.2">
      <c r="A175" s="5" t="s">
        <v>151</v>
      </c>
      <c r="B175" s="48">
        <v>80485.091516132801</v>
      </c>
      <c r="C175" s="48">
        <v>32119.359585937495</v>
      </c>
      <c r="D175" s="5" t="s">
        <v>223</v>
      </c>
    </row>
    <row r="176" spans="1:9" x14ac:dyDescent="0.2">
      <c r="B176" s="143">
        <f>SUM(B174:B175)</f>
        <v>240189.78460833151</v>
      </c>
      <c r="C176" s="143">
        <f>SUM(C174:C175)</f>
        <v>95853.056949776786</v>
      </c>
    </row>
    <row r="177" spans="1:4" x14ac:dyDescent="0.2">
      <c r="A177" s="5" t="s">
        <v>162</v>
      </c>
      <c r="B177" s="48"/>
      <c r="C177" s="48"/>
    </row>
    <row r="178" spans="1:4" x14ac:dyDescent="0.2">
      <c r="A178" s="5" t="s">
        <v>150</v>
      </c>
      <c r="B178" s="48">
        <v>290</v>
      </c>
      <c r="C178" s="48">
        <v>290</v>
      </c>
      <c r="D178" s="5" t="s">
        <v>223</v>
      </c>
    </row>
    <row r="179" spans="1:4" x14ac:dyDescent="0.2">
      <c r="A179" s="5" t="s">
        <v>151</v>
      </c>
      <c r="B179" s="48">
        <v>399</v>
      </c>
      <c r="C179" s="48">
        <v>399</v>
      </c>
      <c r="D179" s="5" t="s">
        <v>223</v>
      </c>
    </row>
    <row r="180" spans="1:4" x14ac:dyDescent="0.2">
      <c r="B180" s="143">
        <f>SUM(B178:B179)</f>
        <v>689</v>
      </c>
      <c r="C180" s="143">
        <f>SUM(C178:C179)</f>
        <v>689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25E3-BFFF-BC4D-994E-01516466168B}">
  <sheetPr>
    <tabColor theme="9"/>
  </sheetPr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54CA-5B7B-7746-93F8-41F3376CE292}">
  <sheetPr>
    <tabColor theme="9"/>
  </sheetPr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93C3-FA25-CA40-A1EF-979158B16DC0}">
  <sheetPr>
    <tabColor theme="9"/>
  </sheetPr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E647-32AE-6649-A9BE-93AEB97F2ABA}">
  <sheetPr>
    <tabColor theme="9"/>
  </sheetPr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7A34-7F61-E547-9543-0243C63BAD5A}">
  <sheetPr>
    <tabColor theme="9"/>
  </sheetPr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4C1A-80B9-5C4D-9AED-824E8A074F63}">
  <sheetPr>
    <tabColor theme="9"/>
  </sheetPr>
  <dimension ref="A1:O168"/>
  <sheetViews>
    <sheetView topLeftCell="A11" workbookViewId="0">
      <selection activeCell="C6" sqref="C6"/>
    </sheetView>
  </sheetViews>
  <sheetFormatPr baseColWidth="10" defaultRowHeight="16" x14ac:dyDescent="0.2"/>
  <cols>
    <col min="1" max="1" width="122" bestFit="1" customWidth="1"/>
    <col min="14" max="14" width="11.6640625" bestFit="1" customWidth="1"/>
  </cols>
  <sheetData>
    <row r="1" spans="1:15" ht="22" x14ac:dyDescent="0.3">
      <c r="A1" s="14" t="s">
        <v>105</v>
      </c>
    </row>
    <row r="3" spans="1:15" ht="17" thickBot="1" x14ac:dyDescent="0.25">
      <c r="A3" t="s">
        <v>94</v>
      </c>
    </row>
    <row r="4" spans="1:15" x14ac:dyDescent="0.2">
      <c r="B4" s="20" t="s">
        <v>106</v>
      </c>
      <c r="C4" s="24" t="s">
        <v>107</v>
      </c>
    </row>
    <row r="5" spans="1:15" x14ac:dyDescent="0.2">
      <c r="A5" t="s">
        <v>95</v>
      </c>
      <c r="B5" s="21">
        <v>10</v>
      </c>
      <c r="C5" s="25">
        <v>3</v>
      </c>
    </row>
    <row r="6" spans="1:15" x14ac:dyDescent="0.2">
      <c r="A6" t="s">
        <v>96</v>
      </c>
      <c r="B6" s="22">
        <v>0.65</v>
      </c>
      <c r="C6" s="26">
        <v>0.65</v>
      </c>
    </row>
    <row r="7" spans="1:15" x14ac:dyDescent="0.2">
      <c r="A7" t="s">
        <v>97</v>
      </c>
      <c r="B7" s="21"/>
      <c r="C7" s="25"/>
    </row>
    <row r="8" spans="1:15" x14ac:dyDescent="0.2">
      <c r="A8" t="s">
        <v>98</v>
      </c>
      <c r="B8" s="22">
        <v>0.55000000000000004</v>
      </c>
      <c r="C8" s="26">
        <v>0.55000000000000004</v>
      </c>
    </row>
    <row r="9" spans="1:15" x14ac:dyDescent="0.2">
      <c r="A9" t="s">
        <v>100</v>
      </c>
      <c r="B9" s="22">
        <v>0.3</v>
      </c>
      <c r="C9" s="26">
        <v>0.3</v>
      </c>
    </row>
    <row r="10" spans="1:15" ht="17" thickBot="1" x14ac:dyDescent="0.25">
      <c r="A10" t="s">
        <v>99</v>
      </c>
      <c r="B10" s="23">
        <v>0.15</v>
      </c>
      <c r="C10" s="27">
        <v>0.15</v>
      </c>
    </row>
    <row r="12" spans="1:15" x14ac:dyDescent="0.2">
      <c r="A12" t="s">
        <v>101</v>
      </c>
    </row>
    <row r="14" spans="1:15" x14ac:dyDescent="0.2">
      <c r="A14" s="16" t="s">
        <v>132</v>
      </c>
      <c r="B14" s="17" t="s">
        <v>54</v>
      </c>
      <c r="C14" s="17" t="s">
        <v>55</v>
      </c>
      <c r="D14" s="17" t="s">
        <v>44</v>
      </c>
      <c r="E14" s="17" t="s">
        <v>45</v>
      </c>
      <c r="F14" s="17" t="s">
        <v>46</v>
      </c>
      <c r="G14" s="17" t="s">
        <v>47</v>
      </c>
      <c r="H14" s="17" t="s">
        <v>48</v>
      </c>
      <c r="I14" s="17" t="s">
        <v>49</v>
      </c>
      <c r="J14" s="17" t="s">
        <v>50</v>
      </c>
      <c r="K14" s="17" t="s">
        <v>51</v>
      </c>
      <c r="L14" s="17" t="s">
        <v>52</v>
      </c>
      <c r="M14" s="17" t="s">
        <v>53</v>
      </c>
      <c r="N14" s="17" t="s">
        <v>110</v>
      </c>
    </row>
    <row r="15" spans="1:15" x14ac:dyDescent="0.2">
      <c r="B15">
        <v>31</v>
      </c>
      <c r="C15">
        <v>28</v>
      </c>
      <c r="D15">
        <v>31</v>
      </c>
      <c r="E15">
        <v>30</v>
      </c>
      <c r="F15">
        <v>31</v>
      </c>
      <c r="G15">
        <v>30</v>
      </c>
      <c r="H15">
        <v>31</v>
      </c>
      <c r="I15">
        <v>31</v>
      </c>
      <c r="J15">
        <v>30</v>
      </c>
      <c r="K15">
        <v>31</v>
      </c>
      <c r="L15">
        <v>30</v>
      </c>
      <c r="M15">
        <v>31</v>
      </c>
      <c r="N15">
        <f>SUM(B15:M15)</f>
        <v>365</v>
      </c>
      <c r="O15" t="s">
        <v>134</v>
      </c>
    </row>
    <row r="16" spans="1:15" x14ac:dyDescent="0.2">
      <c r="A16" t="s">
        <v>102</v>
      </c>
    </row>
    <row r="17" spans="1:14" x14ac:dyDescent="0.2">
      <c r="A17" t="s">
        <v>103</v>
      </c>
      <c r="B17" s="29">
        <f>$B$5*$B$6*$B$8*B15</f>
        <v>110.825</v>
      </c>
      <c r="C17" s="29">
        <f t="shared" ref="C17:M17" si="0">$B$5*$B$6*$B$8*C15</f>
        <v>100.10000000000001</v>
      </c>
      <c r="D17" s="29">
        <f t="shared" si="0"/>
        <v>110.825</v>
      </c>
      <c r="E17" s="29">
        <f t="shared" si="0"/>
        <v>107.25</v>
      </c>
      <c r="F17" s="29">
        <f t="shared" si="0"/>
        <v>110.825</v>
      </c>
      <c r="G17" s="29">
        <f t="shared" si="0"/>
        <v>107.25</v>
      </c>
      <c r="H17" s="29">
        <f t="shared" si="0"/>
        <v>110.825</v>
      </c>
      <c r="I17" s="29">
        <f t="shared" si="0"/>
        <v>110.825</v>
      </c>
      <c r="J17" s="29">
        <f t="shared" si="0"/>
        <v>107.25</v>
      </c>
      <c r="K17" s="29">
        <f>$B$5*$B$6*$B$8*K15</f>
        <v>110.825</v>
      </c>
      <c r="L17" s="29">
        <f t="shared" si="0"/>
        <v>107.25</v>
      </c>
      <c r="M17" s="29">
        <f t="shared" si="0"/>
        <v>110.825</v>
      </c>
    </row>
    <row r="18" spans="1:14" x14ac:dyDescent="0.2">
      <c r="A18" t="s">
        <v>100</v>
      </c>
      <c r="B18" s="29">
        <f>$B$5*$B$6*$B$9*B15</f>
        <v>60.449999999999996</v>
      </c>
      <c r="C18" s="29">
        <f t="shared" ref="C18:M18" si="1">$B$5*$B$6*$B$9*C15</f>
        <v>54.6</v>
      </c>
      <c r="D18" s="29">
        <f t="shared" si="1"/>
        <v>60.449999999999996</v>
      </c>
      <c r="E18" s="29">
        <f t="shared" si="1"/>
        <v>58.5</v>
      </c>
      <c r="F18" s="29">
        <f t="shared" si="1"/>
        <v>60.449999999999996</v>
      </c>
      <c r="G18" s="29">
        <f t="shared" si="1"/>
        <v>58.5</v>
      </c>
      <c r="H18" s="29">
        <f t="shared" si="1"/>
        <v>60.449999999999996</v>
      </c>
      <c r="I18" s="29">
        <f t="shared" si="1"/>
        <v>60.449999999999996</v>
      </c>
      <c r="J18" s="29">
        <f t="shared" si="1"/>
        <v>58.5</v>
      </c>
      <c r="K18" s="29">
        <f t="shared" si="1"/>
        <v>60.449999999999996</v>
      </c>
      <c r="L18" s="29">
        <f t="shared" si="1"/>
        <v>58.5</v>
      </c>
      <c r="M18" s="29">
        <f t="shared" si="1"/>
        <v>60.449999999999996</v>
      </c>
    </row>
    <row r="19" spans="1:14" x14ac:dyDescent="0.2">
      <c r="A19" t="s">
        <v>99</v>
      </c>
      <c r="B19" s="29">
        <f>$B$5*$B$6*$B$10*B15</f>
        <v>30.224999999999998</v>
      </c>
      <c r="C19" s="29">
        <f t="shared" ref="C19:M19" si="2">$B$5*$B$6*$B$10*C15</f>
        <v>27.3</v>
      </c>
      <c r="D19" s="29">
        <f t="shared" si="2"/>
        <v>30.224999999999998</v>
      </c>
      <c r="E19" s="29">
        <f t="shared" si="2"/>
        <v>29.25</v>
      </c>
      <c r="F19" s="29">
        <f t="shared" si="2"/>
        <v>30.224999999999998</v>
      </c>
      <c r="G19" s="29">
        <f t="shared" si="2"/>
        <v>29.25</v>
      </c>
      <c r="H19" s="29">
        <f t="shared" si="2"/>
        <v>30.224999999999998</v>
      </c>
      <c r="I19" s="29">
        <f t="shared" si="2"/>
        <v>30.224999999999998</v>
      </c>
      <c r="J19" s="29">
        <f t="shared" si="2"/>
        <v>29.25</v>
      </c>
      <c r="K19" s="29">
        <f t="shared" si="2"/>
        <v>30.224999999999998</v>
      </c>
      <c r="L19" s="29">
        <f t="shared" si="2"/>
        <v>29.25</v>
      </c>
      <c r="M19" s="29">
        <f t="shared" si="2"/>
        <v>30.224999999999998</v>
      </c>
    </row>
    <row r="20" spans="1:14" x14ac:dyDescent="0.2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4" x14ac:dyDescent="0.2">
      <c r="A21" t="s">
        <v>104</v>
      </c>
      <c r="B21" s="29">
        <f>SUM(B17:B19)</f>
        <v>201.5</v>
      </c>
      <c r="C21" s="29">
        <f t="shared" ref="C21:M21" si="3">SUM(C17:C19)</f>
        <v>182.00000000000003</v>
      </c>
      <c r="D21" s="29">
        <f t="shared" si="3"/>
        <v>201.5</v>
      </c>
      <c r="E21" s="29">
        <f t="shared" si="3"/>
        <v>195</v>
      </c>
      <c r="F21" s="29">
        <f t="shared" si="3"/>
        <v>201.5</v>
      </c>
      <c r="G21" s="29">
        <f t="shared" si="3"/>
        <v>195</v>
      </c>
      <c r="H21" s="29">
        <f t="shared" si="3"/>
        <v>201.5</v>
      </c>
      <c r="I21" s="29">
        <f t="shared" si="3"/>
        <v>201.5</v>
      </c>
      <c r="J21" s="29">
        <f t="shared" si="3"/>
        <v>195</v>
      </c>
      <c r="K21" s="29">
        <f t="shared" si="3"/>
        <v>201.5</v>
      </c>
      <c r="L21" s="29">
        <f t="shared" si="3"/>
        <v>195</v>
      </c>
      <c r="M21" s="29">
        <f t="shared" si="3"/>
        <v>201.5</v>
      </c>
      <c r="N21" s="29">
        <f>SUM(B21:M21)</f>
        <v>2372.5</v>
      </c>
    </row>
    <row r="24" spans="1:14" x14ac:dyDescent="0.2">
      <c r="A24" s="18" t="s">
        <v>133</v>
      </c>
      <c r="B24" s="19" t="s">
        <v>54</v>
      </c>
      <c r="C24" s="19" t="s">
        <v>55</v>
      </c>
      <c r="D24" s="19" t="s">
        <v>44</v>
      </c>
      <c r="E24" s="19" t="s">
        <v>45</v>
      </c>
      <c r="F24" s="19" t="s">
        <v>46</v>
      </c>
      <c r="G24" s="19" t="s">
        <v>47</v>
      </c>
      <c r="H24" s="19" t="s">
        <v>48</v>
      </c>
      <c r="I24" s="19" t="s">
        <v>49</v>
      </c>
      <c r="J24" s="19" t="s">
        <v>50</v>
      </c>
      <c r="K24" s="19" t="s">
        <v>51</v>
      </c>
      <c r="L24" s="19" t="s">
        <v>52</v>
      </c>
      <c r="M24" s="19" t="s">
        <v>53</v>
      </c>
    </row>
    <row r="25" spans="1:14" x14ac:dyDescent="0.2">
      <c r="A25" t="s">
        <v>102</v>
      </c>
    </row>
    <row r="26" spans="1:14" x14ac:dyDescent="0.2">
      <c r="A26" t="s">
        <v>103</v>
      </c>
      <c r="B26" s="29">
        <f>$C$5*$C$6*$C$8*B15</f>
        <v>33.247500000000009</v>
      </c>
      <c r="C26" s="29">
        <f t="shared" ref="C26:M26" si="4">$C$5*$C$6*$C$8*C15</f>
        <v>30.030000000000008</v>
      </c>
      <c r="D26" s="29">
        <f t="shared" si="4"/>
        <v>33.247500000000009</v>
      </c>
      <c r="E26" s="29">
        <f t="shared" si="4"/>
        <v>32.175000000000004</v>
      </c>
      <c r="F26" s="29">
        <f t="shared" si="4"/>
        <v>33.247500000000009</v>
      </c>
      <c r="G26" s="29">
        <f t="shared" si="4"/>
        <v>32.175000000000004</v>
      </c>
      <c r="H26" s="29">
        <f t="shared" si="4"/>
        <v>33.247500000000009</v>
      </c>
      <c r="I26" s="29">
        <f t="shared" si="4"/>
        <v>33.247500000000009</v>
      </c>
      <c r="J26" s="29">
        <f t="shared" si="4"/>
        <v>32.175000000000004</v>
      </c>
      <c r="K26" s="29">
        <f t="shared" si="4"/>
        <v>33.247500000000009</v>
      </c>
      <c r="L26" s="29">
        <f>$C$5*$C$6*$C$8*L15</f>
        <v>32.175000000000004</v>
      </c>
      <c r="M26" s="29">
        <f t="shared" si="4"/>
        <v>33.247500000000009</v>
      </c>
    </row>
    <row r="27" spans="1:14" x14ac:dyDescent="0.2">
      <c r="A27" t="s">
        <v>100</v>
      </c>
      <c r="B27" s="29">
        <f>$C$5*$C$6*$C$9*B15</f>
        <v>18.135000000000002</v>
      </c>
      <c r="C27" s="29">
        <f t="shared" ref="C27:M27" si="5">$C$5*$C$6*$C$9*C15</f>
        <v>16.380000000000003</v>
      </c>
      <c r="D27" s="29">
        <f t="shared" si="5"/>
        <v>18.135000000000002</v>
      </c>
      <c r="E27" s="29">
        <f t="shared" si="5"/>
        <v>17.55</v>
      </c>
      <c r="F27" s="29">
        <f t="shared" si="5"/>
        <v>18.135000000000002</v>
      </c>
      <c r="G27" s="29">
        <f t="shared" si="5"/>
        <v>17.55</v>
      </c>
      <c r="H27" s="29">
        <f t="shared" si="5"/>
        <v>18.135000000000002</v>
      </c>
      <c r="I27" s="29">
        <f t="shared" si="5"/>
        <v>18.135000000000002</v>
      </c>
      <c r="J27" s="29">
        <f t="shared" si="5"/>
        <v>17.55</v>
      </c>
      <c r="K27" s="29">
        <f t="shared" si="5"/>
        <v>18.135000000000002</v>
      </c>
      <c r="L27" s="29">
        <f t="shared" si="5"/>
        <v>17.55</v>
      </c>
      <c r="M27" s="29">
        <f t="shared" si="5"/>
        <v>18.135000000000002</v>
      </c>
    </row>
    <row r="28" spans="1:14" x14ac:dyDescent="0.2">
      <c r="A28" t="s">
        <v>99</v>
      </c>
      <c r="B28" s="29">
        <f>$C$5*$C$6*$C$10*B15</f>
        <v>9.0675000000000008</v>
      </c>
      <c r="C28" s="29">
        <f t="shared" ref="C28:M28" si="6">$C$5*$C$6*$C$10*C15</f>
        <v>8.1900000000000013</v>
      </c>
      <c r="D28" s="29">
        <f t="shared" si="6"/>
        <v>9.0675000000000008</v>
      </c>
      <c r="E28" s="29">
        <f t="shared" si="6"/>
        <v>8.7750000000000004</v>
      </c>
      <c r="F28" s="29">
        <f t="shared" si="6"/>
        <v>9.0675000000000008</v>
      </c>
      <c r="G28" s="29">
        <f t="shared" si="6"/>
        <v>8.7750000000000004</v>
      </c>
      <c r="H28" s="29">
        <f t="shared" si="6"/>
        <v>9.0675000000000008</v>
      </c>
      <c r="I28" s="29">
        <f t="shared" si="6"/>
        <v>9.0675000000000008</v>
      </c>
      <c r="J28" s="29">
        <f t="shared" si="6"/>
        <v>8.7750000000000004</v>
      </c>
      <c r="K28" s="29">
        <f t="shared" si="6"/>
        <v>9.0675000000000008</v>
      </c>
      <c r="L28" s="29">
        <f t="shared" si="6"/>
        <v>8.7750000000000004</v>
      </c>
      <c r="M28" s="29">
        <f t="shared" si="6"/>
        <v>9.0675000000000008</v>
      </c>
    </row>
    <row r="30" spans="1:14" x14ac:dyDescent="0.2">
      <c r="A30" t="s">
        <v>104</v>
      </c>
      <c r="B30" s="29">
        <f>SUM(B26:B28)</f>
        <v>60.45000000000001</v>
      </c>
      <c r="C30" s="29">
        <f t="shared" ref="C30:M30" si="7">SUM(C26:C28)</f>
        <v>54.600000000000009</v>
      </c>
      <c r="D30" s="29">
        <f t="shared" si="7"/>
        <v>60.45000000000001</v>
      </c>
      <c r="E30" s="29">
        <f t="shared" si="7"/>
        <v>58.500000000000007</v>
      </c>
      <c r="F30" s="29">
        <f t="shared" si="7"/>
        <v>60.45000000000001</v>
      </c>
      <c r="G30" s="29">
        <f t="shared" si="7"/>
        <v>58.500000000000007</v>
      </c>
      <c r="H30" s="29">
        <f t="shared" si="7"/>
        <v>60.45000000000001</v>
      </c>
      <c r="I30" s="29">
        <f t="shared" si="7"/>
        <v>60.45000000000001</v>
      </c>
      <c r="J30" s="29">
        <f t="shared" si="7"/>
        <v>58.500000000000007</v>
      </c>
      <c r="K30" s="29">
        <f t="shared" si="7"/>
        <v>60.45000000000001</v>
      </c>
      <c r="L30" s="29">
        <f t="shared" si="7"/>
        <v>58.500000000000007</v>
      </c>
      <c r="M30" s="29">
        <f t="shared" si="7"/>
        <v>60.45000000000001</v>
      </c>
      <c r="N30" s="29">
        <f>SUM(B30:M30)</f>
        <v>711.75000000000011</v>
      </c>
    </row>
    <row r="32" spans="1:14" x14ac:dyDescent="0.2">
      <c r="A32" t="s">
        <v>108</v>
      </c>
    </row>
    <row r="33" spans="1:13" x14ac:dyDescent="0.2">
      <c r="A33" s="3" t="s">
        <v>1</v>
      </c>
      <c r="B33" s="15">
        <v>0.06</v>
      </c>
      <c r="C33" s="15">
        <v>0.06</v>
      </c>
      <c r="D33" s="15">
        <v>0.06</v>
      </c>
      <c r="E33" s="15">
        <v>0.06</v>
      </c>
      <c r="F33" s="15">
        <v>0.06</v>
      </c>
      <c r="G33" s="15">
        <v>0.06</v>
      </c>
      <c r="H33" s="15">
        <v>0.06</v>
      </c>
      <c r="I33" s="15">
        <v>0.06</v>
      </c>
      <c r="J33" s="15">
        <v>0.06</v>
      </c>
      <c r="K33" s="15">
        <v>0.06</v>
      </c>
      <c r="L33" s="15">
        <v>0.06</v>
      </c>
      <c r="M33" s="15">
        <v>0.06</v>
      </c>
    </row>
    <row r="34" spans="1:13" x14ac:dyDescent="0.2">
      <c r="A34" s="3" t="s">
        <v>2</v>
      </c>
      <c r="B34" s="15">
        <v>0.12</v>
      </c>
      <c r="C34" s="15">
        <v>0.12</v>
      </c>
      <c r="D34" s="15">
        <v>0.12</v>
      </c>
      <c r="E34" s="15">
        <v>0.12</v>
      </c>
      <c r="F34" s="15">
        <v>0.12</v>
      </c>
      <c r="G34" s="15">
        <v>0.12</v>
      </c>
      <c r="H34" s="15">
        <v>0.12</v>
      </c>
      <c r="I34" s="15">
        <v>0.12</v>
      </c>
      <c r="J34" s="15">
        <v>0.12</v>
      </c>
      <c r="K34" s="15">
        <v>0.12</v>
      </c>
      <c r="L34" s="15">
        <v>0.12</v>
      </c>
      <c r="M34" s="15">
        <v>0.12</v>
      </c>
    </row>
    <row r="35" spans="1:13" x14ac:dyDescent="0.2">
      <c r="A35" s="3" t="s">
        <v>3</v>
      </c>
      <c r="B35" s="15">
        <v>0.06</v>
      </c>
      <c r="C35" s="15">
        <v>0.06</v>
      </c>
      <c r="D35" s="15">
        <v>0.06</v>
      </c>
      <c r="E35" s="15">
        <v>0.06</v>
      </c>
      <c r="F35" s="15">
        <v>0.06</v>
      </c>
      <c r="G35" s="15">
        <v>0.06</v>
      </c>
      <c r="H35" s="15">
        <v>0.06</v>
      </c>
      <c r="I35" s="15">
        <v>0.06</v>
      </c>
      <c r="J35" s="15">
        <v>0.06</v>
      </c>
      <c r="K35" s="15">
        <v>0.06</v>
      </c>
      <c r="L35" s="15">
        <v>0.06</v>
      </c>
      <c r="M35" s="15">
        <v>0.06</v>
      </c>
    </row>
    <row r="36" spans="1:13" x14ac:dyDescent="0.2">
      <c r="A36" s="3" t="s">
        <v>13</v>
      </c>
      <c r="B36" s="15">
        <v>0.06</v>
      </c>
      <c r="C36" s="15">
        <v>0.06</v>
      </c>
      <c r="D36" s="15">
        <v>0.06</v>
      </c>
      <c r="E36" s="15">
        <v>0.06</v>
      </c>
      <c r="F36" s="15">
        <v>0.06</v>
      </c>
      <c r="G36" s="15">
        <v>0.06</v>
      </c>
      <c r="H36" s="15">
        <v>0.06</v>
      </c>
      <c r="I36" s="15">
        <v>0.06</v>
      </c>
      <c r="J36" s="15">
        <v>0.06</v>
      </c>
      <c r="K36" s="15">
        <v>0.06</v>
      </c>
      <c r="L36" s="15">
        <v>0.06</v>
      </c>
      <c r="M36" s="15">
        <v>0.06</v>
      </c>
    </row>
    <row r="37" spans="1:13" x14ac:dyDescent="0.2">
      <c r="A37" s="3" t="s">
        <v>14</v>
      </c>
      <c r="B37" s="15">
        <v>0.06</v>
      </c>
      <c r="C37" s="15">
        <v>0.06</v>
      </c>
      <c r="D37" s="15">
        <v>0.06</v>
      </c>
      <c r="E37" s="15">
        <v>0.06</v>
      </c>
      <c r="F37" s="15">
        <v>0.06</v>
      </c>
      <c r="G37" s="15">
        <v>0.06</v>
      </c>
      <c r="H37" s="15">
        <v>0.06</v>
      </c>
      <c r="I37" s="15">
        <v>0.06</v>
      </c>
      <c r="J37" s="15">
        <v>0.06</v>
      </c>
      <c r="K37" s="15">
        <v>0.06</v>
      </c>
      <c r="L37" s="15">
        <v>0.06</v>
      </c>
      <c r="M37" s="15">
        <v>0.06</v>
      </c>
    </row>
    <row r="38" spans="1:13" x14ac:dyDescent="0.2">
      <c r="A38" s="3" t="s">
        <v>24</v>
      </c>
      <c r="B38" s="15">
        <v>0.06</v>
      </c>
      <c r="C38" s="15">
        <v>0.06</v>
      </c>
      <c r="D38" s="15">
        <v>0.06</v>
      </c>
      <c r="E38" s="15">
        <v>0.06</v>
      </c>
      <c r="F38" s="15">
        <v>0.06</v>
      </c>
      <c r="G38" s="15">
        <v>0.06</v>
      </c>
      <c r="H38" s="15">
        <v>0.06</v>
      </c>
      <c r="I38" s="15">
        <v>0.06</v>
      </c>
      <c r="J38" s="15">
        <v>0.06</v>
      </c>
      <c r="K38" s="15">
        <v>0.06</v>
      </c>
      <c r="L38" s="15">
        <v>0.06</v>
      </c>
      <c r="M38" s="15">
        <v>0.06</v>
      </c>
    </row>
    <row r="39" spans="1:13" x14ac:dyDescent="0.2">
      <c r="A39" s="3" t="s">
        <v>25</v>
      </c>
      <c r="B39" s="15">
        <v>0.06</v>
      </c>
      <c r="C39" s="15">
        <v>0.06</v>
      </c>
      <c r="D39" s="15">
        <v>0.06</v>
      </c>
      <c r="E39" s="15">
        <v>0.06</v>
      </c>
      <c r="F39" s="15">
        <v>0.06</v>
      </c>
      <c r="G39" s="15">
        <v>0.06</v>
      </c>
      <c r="H39" s="15">
        <v>0.06</v>
      </c>
      <c r="I39" s="15">
        <v>0.06</v>
      </c>
      <c r="J39" s="15">
        <v>0.06</v>
      </c>
      <c r="K39" s="15">
        <v>0.06</v>
      </c>
      <c r="L39" s="15">
        <v>0.06</v>
      </c>
      <c r="M39" s="15">
        <v>0.06</v>
      </c>
    </row>
    <row r="40" spans="1:13" x14ac:dyDescent="0.2">
      <c r="A40" s="3" t="s">
        <v>56</v>
      </c>
      <c r="B40" s="15">
        <v>7.0000000000000007E-2</v>
      </c>
      <c r="C40" s="15">
        <v>7.0000000000000007E-2</v>
      </c>
      <c r="D40" s="15">
        <v>7.0000000000000007E-2</v>
      </c>
      <c r="E40" s="15">
        <v>7.0000000000000007E-2</v>
      </c>
      <c r="F40" s="15">
        <v>7.0000000000000007E-2</v>
      </c>
      <c r="G40" s="15">
        <v>7.0000000000000007E-2</v>
      </c>
      <c r="H40" s="15">
        <v>7.0000000000000007E-2</v>
      </c>
      <c r="I40" s="15">
        <v>7.0000000000000007E-2</v>
      </c>
      <c r="J40" s="15">
        <v>7.0000000000000007E-2</v>
      </c>
      <c r="K40" s="15">
        <v>7.0000000000000007E-2</v>
      </c>
      <c r="L40" s="15">
        <v>7.0000000000000007E-2</v>
      </c>
      <c r="M40" s="15">
        <v>7.0000000000000007E-2</v>
      </c>
    </row>
    <row r="41" spans="1:13" x14ac:dyDescent="0.2">
      <c r="A41" s="5" t="s">
        <v>57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x14ac:dyDescent="0.2">
      <c r="A42" s="3" t="s">
        <v>109</v>
      </c>
      <c r="B42" s="15">
        <v>0.45</v>
      </c>
      <c r="C42" s="15">
        <v>0.45</v>
      </c>
      <c r="D42" s="15">
        <v>0.45</v>
      </c>
      <c r="E42" s="15">
        <v>0.45</v>
      </c>
      <c r="F42" s="15">
        <v>0.45</v>
      </c>
      <c r="G42" s="15">
        <v>0.45</v>
      </c>
      <c r="H42" s="15">
        <v>0.45</v>
      </c>
      <c r="I42" s="15">
        <v>0.45</v>
      </c>
      <c r="J42" s="15">
        <v>0.45</v>
      </c>
      <c r="K42" s="15">
        <v>0.45</v>
      </c>
      <c r="L42" s="15">
        <v>0.45</v>
      </c>
      <c r="M42" s="15">
        <v>0.45</v>
      </c>
    </row>
    <row r="44" spans="1:13" x14ac:dyDescent="0.2">
      <c r="A44" s="3" t="s">
        <v>110</v>
      </c>
      <c r="B44" s="15">
        <f>SUM(B33:B42)</f>
        <v>1</v>
      </c>
      <c r="C44" s="15">
        <f t="shared" ref="C44:M44" si="8">SUM(C33:C42)</f>
        <v>1</v>
      </c>
      <c r="D44" s="15">
        <f t="shared" si="8"/>
        <v>1</v>
      </c>
      <c r="E44" s="15">
        <f t="shared" si="8"/>
        <v>1</v>
      </c>
      <c r="F44" s="15">
        <f t="shared" si="8"/>
        <v>1</v>
      </c>
      <c r="G44" s="15">
        <f t="shared" si="8"/>
        <v>1</v>
      </c>
      <c r="H44" s="15">
        <f t="shared" si="8"/>
        <v>1</v>
      </c>
      <c r="I44" s="15">
        <f t="shared" si="8"/>
        <v>1</v>
      </c>
      <c r="J44" s="15">
        <f t="shared" si="8"/>
        <v>1</v>
      </c>
      <c r="K44" s="15">
        <f t="shared" si="8"/>
        <v>1</v>
      </c>
      <c r="L44" s="15">
        <f t="shared" si="8"/>
        <v>1</v>
      </c>
      <c r="M44" s="15">
        <f t="shared" si="8"/>
        <v>1</v>
      </c>
    </row>
    <row r="47" spans="1:13" x14ac:dyDescent="0.2">
      <c r="A47" s="16" t="s">
        <v>111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x14ac:dyDescent="0.2">
      <c r="A48" s="30" t="s">
        <v>113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x14ac:dyDescent="0.2">
      <c r="A49" s="17" t="s">
        <v>103</v>
      </c>
      <c r="B49" s="42">
        <f>B17*B33*'1. Assumptions'!$B$101</f>
        <v>279.279</v>
      </c>
      <c r="C49" s="42">
        <f>C17*C33*'1. Assumptions'!$B$101</f>
        <v>252.25200000000001</v>
      </c>
      <c r="D49" s="42">
        <f>D17*D33*'1. Assumptions'!$B$101</f>
        <v>279.279</v>
      </c>
      <c r="E49" s="42">
        <f>E17*E33*'1. Assumptions'!$B$101</f>
        <v>270.27</v>
      </c>
      <c r="F49" s="42">
        <f>F17*F33*'1. Assumptions'!$B$101</f>
        <v>279.279</v>
      </c>
      <c r="G49" s="42">
        <f>G17*G33*'1. Assumptions'!$B$101</f>
        <v>270.27</v>
      </c>
      <c r="H49" s="42">
        <f>H17*H33*'1. Assumptions'!$B$101</f>
        <v>279.279</v>
      </c>
      <c r="I49" s="42">
        <f>I17*I33*'1. Assumptions'!$B$101</f>
        <v>279.279</v>
      </c>
      <c r="J49" s="42">
        <f>J17*J33*'1. Assumptions'!$B$101</f>
        <v>270.27</v>
      </c>
      <c r="K49" s="42">
        <f>K17*K33*'1. Assumptions'!$B$101</f>
        <v>279.279</v>
      </c>
      <c r="L49" s="42">
        <f>L17*L33*'1. Assumptions'!$B$101</f>
        <v>270.27</v>
      </c>
      <c r="M49" s="42">
        <f>M17*M33*'1. Assumptions'!$B$101</f>
        <v>279.279</v>
      </c>
    </row>
    <row r="50" spans="1:13" x14ac:dyDescent="0.2">
      <c r="A50" s="17" t="s">
        <v>100</v>
      </c>
      <c r="B50" s="42">
        <f>B18*B33*'1. Assumptions'!$B$104</f>
        <v>290.15999999999997</v>
      </c>
      <c r="C50" s="42">
        <f>C18*C33*'1. Assumptions'!$B$104</f>
        <v>262.08</v>
      </c>
      <c r="D50" s="42">
        <f>D18*D33*'1. Assumptions'!$B$104</f>
        <v>290.15999999999997</v>
      </c>
      <c r="E50" s="42">
        <f>E18*E33*'1. Assumptions'!$B$104</f>
        <v>280.79999999999995</v>
      </c>
      <c r="F50" s="42">
        <f>F18*F33*'1. Assumptions'!$B$104</f>
        <v>290.15999999999997</v>
      </c>
      <c r="G50" s="42">
        <f>G18*G33*'1. Assumptions'!$B$104</f>
        <v>280.79999999999995</v>
      </c>
      <c r="H50" s="42">
        <f>H18*H33*'1. Assumptions'!$B$104</f>
        <v>290.15999999999997</v>
      </c>
      <c r="I50" s="42">
        <f>I18*I33*'1. Assumptions'!$B$104</f>
        <v>290.15999999999997</v>
      </c>
      <c r="J50" s="42">
        <f>J18*J33*'1. Assumptions'!$B$104</f>
        <v>280.79999999999995</v>
      </c>
      <c r="K50" s="42">
        <f>K18*K33*'1. Assumptions'!$B$104</f>
        <v>290.15999999999997</v>
      </c>
      <c r="L50" s="42">
        <f>L18*L33*'1. Assumptions'!$B$104</f>
        <v>280.79999999999995</v>
      </c>
      <c r="M50" s="42">
        <f>M18*M33*'1. Assumptions'!$B$104</f>
        <v>290.15999999999997</v>
      </c>
    </row>
    <row r="51" spans="1:13" x14ac:dyDescent="0.2">
      <c r="A51" s="17" t="s">
        <v>99</v>
      </c>
      <c r="B51" s="42">
        <f>B19*B33*'1. Assumptions'!$B$107</f>
        <v>228.50099999999998</v>
      </c>
      <c r="C51" s="42">
        <f>C19*C33*'1. Assumptions'!$B$107</f>
        <v>206.38799999999998</v>
      </c>
      <c r="D51" s="42">
        <f>D19*D33*'1. Assumptions'!$B$107</f>
        <v>228.50099999999998</v>
      </c>
      <c r="E51" s="42">
        <f>E19*E33*'1. Assumptions'!$B$107</f>
        <v>221.13</v>
      </c>
      <c r="F51" s="42">
        <f>F19*F33*'1. Assumptions'!$B$107</f>
        <v>228.50099999999998</v>
      </c>
      <c r="G51" s="42">
        <f>G19*G33*'1. Assumptions'!$B$107</f>
        <v>221.13</v>
      </c>
      <c r="H51" s="42">
        <f>H19*H33*'1. Assumptions'!$B$107</f>
        <v>228.50099999999998</v>
      </c>
      <c r="I51" s="42">
        <f>I19*I33*'1. Assumptions'!$B$107</f>
        <v>228.50099999999998</v>
      </c>
      <c r="J51" s="42">
        <f>J19*J33*'1. Assumptions'!$B$107</f>
        <v>221.13</v>
      </c>
      <c r="K51" s="42">
        <f>K19*K33*'1. Assumptions'!$B$107</f>
        <v>228.50099999999998</v>
      </c>
      <c r="L51" s="42">
        <f>L19*L33*'1. Assumptions'!$B$107</f>
        <v>221.13</v>
      </c>
      <c r="M51" s="42">
        <f>M19*M33*'1. Assumptions'!$B$107</f>
        <v>228.50099999999998</v>
      </c>
    </row>
    <row r="52" spans="1:13" x14ac:dyDescent="0.2">
      <c r="A52" s="31" t="s">
        <v>123</v>
      </c>
      <c r="B52" s="43">
        <f>SUM(B49:B51)</f>
        <v>797.93999999999994</v>
      </c>
      <c r="C52" s="43">
        <f t="shared" ref="C52:M52" si="9">SUM(C49:C51)</f>
        <v>720.72</v>
      </c>
      <c r="D52" s="43">
        <f t="shared" si="9"/>
        <v>797.93999999999994</v>
      </c>
      <c r="E52" s="43">
        <f t="shared" si="9"/>
        <v>772.19999999999993</v>
      </c>
      <c r="F52" s="43">
        <f t="shared" si="9"/>
        <v>797.93999999999994</v>
      </c>
      <c r="G52" s="43">
        <f t="shared" si="9"/>
        <v>772.19999999999993</v>
      </c>
      <c r="H52" s="43">
        <f t="shared" si="9"/>
        <v>797.93999999999994</v>
      </c>
      <c r="I52" s="43">
        <f t="shared" si="9"/>
        <v>797.93999999999994</v>
      </c>
      <c r="J52" s="43">
        <f t="shared" si="9"/>
        <v>772.19999999999993</v>
      </c>
      <c r="K52" s="43">
        <f t="shared" si="9"/>
        <v>797.93999999999994</v>
      </c>
      <c r="L52" s="43">
        <f t="shared" si="9"/>
        <v>772.19999999999993</v>
      </c>
      <c r="M52" s="43">
        <f t="shared" si="9"/>
        <v>797.93999999999994</v>
      </c>
    </row>
    <row r="53" spans="1:13" x14ac:dyDescent="0.2">
      <c r="A53" s="3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">
      <c r="A54" s="30" t="s">
        <v>121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">
      <c r="A55" s="17" t="s">
        <v>103</v>
      </c>
      <c r="B55" s="42">
        <f>B34*B17*'1. Assumptions'!$B$101</f>
        <v>558.55799999999999</v>
      </c>
      <c r="C55" s="42">
        <f>C34*C17*'1. Assumptions'!$B$101</f>
        <v>504.50400000000002</v>
      </c>
      <c r="D55" s="42">
        <f>D34*D17*'1. Assumptions'!$B$101</f>
        <v>558.55799999999999</v>
      </c>
      <c r="E55" s="42">
        <f>E34*E17*'1. Assumptions'!$B$101</f>
        <v>540.54</v>
      </c>
      <c r="F55" s="42">
        <f>F34*F17*'1. Assumptions'!$B$101</f>
        <v>558.55799999999999</v>
      </c>
      <c r="G55" s="42">
        <f>G34*G17*'1. Assumptions'!$B$101</f>
        <v>540.54</v>
      </c>
      <c r="H55" s="42">
        <f>H34*H17*'1. Assumptions'!$B$101</f>
        <v>558.55799999999999</v>
      </c>
      <c r="I55" s="42">
        <f>I34*I17*'1. Assumptions'!$B$101</f>
        <v>558.55799999999999</v>
      </c>
      <c r="J55" s="42">
        <f>J34*J17*'1. Assumptions'!$B$101</f>
        <v>540.54</v>
      </c>
      <c r="K55" s="42">
        <f>K34*K17*'1. Assumptions'!$B$101</f>
        <v>558.55799999999999</v>
      </c>
      <c r="L55" s="42">
        <f>L34*L17*'1. Assumptions'!$B$101</f>
        <v>540.54</v>
      </c>
      <c r="M55" s="42">
        <f>M34*M17*'1. Assumptions'!$B$101</f>
        <v>558.55799999999999</v>
      </c>
    </row>
    <row r="56" spans="1:13" x14ac:dyDescent="0.2">
      <c r="A56" s="17" t="s">
        <v>100</v>
      </c>
      <c r="B56" s="42">
        <f>B34*B18*'1. Assumptions'!$B$104</f>
        <v>580.31999999999994</v>
      </c>
      <c r="C56" s="42">
        <f>C34*C18*'1. Assumptions'!$B$104</f>
        <v>524.16</v>
      </c>
      <c r="D56" s="42">
        <f>D34*D18*'1. Assumptions'!$B$104</f>
        <v>580.31999999999994</v>
      </c>
      <c r="E56" s="42">
        <f>E34*E18*'1. Assumptions'!$B$104</f>
        <v>561.59999999999991</v>
      </c>
      <c r="F56" s="42">
        <f>F34*F18*'1. Assumptions'!$B$104</f>
        <v>580.31999999999994</v>
      </c>
      <c r="G56" s="42">
        <f>G34*G18*'1. Assumptions'!$B$104</f>
        <v>561.59999999999991</v>
      </c>
      <c r="H56" s="42">
        <f>H34*H18*'1. Assumptions'!$B$104</f>
        <v>580.31999999999994</v>
      </c>
      <c r="I56" s="42">
        <f>I34*I18*'1. Assumptions'!$B$104</f>
        <v>580.31999999999994</v>
      </c>
      <c r="J56" s="42">
        <f>J34*J18*'1. Assumptions'!$B$104</f>
        <v>561.59999999999991</v>
      </c>
      <c r="K56" s="42">
        <f>K34*K18*'1. Assumptions'!$B$104</f>
        <v>580.31999999999994</v>
      </c>
      <c r="L56" s="42">
        <f>L34*L18*'1. Assumptions'!$B$104</f>
        <v>561.59999999999991</v>
      </c>
      <c r="M56" s="42">
        <f>M34*M18*'1. Assumptions'!$B$104</f>
        <v>580.31999999999994</v>
      </c>
    </row>
    <row r="57" spans="1:13" x14ac:dyDescent="0.2">
      <c r="A57" s="17" t="s">
        <v>99</v>
      </c>
      <c r="B57" s="42">
        <f>B34*B19*'1. Assumptions'!$B$107</f>
        <v>457.00199999999995</v>
      </c>
      <c r="C57" s="42">
        <f>C34*C19*'1. Assumptions'!$B$107</f>
        <v>412.77599999999995</v>
      </c>
      <c r="D57" s="42">
        <f>D34*D19*'1. Assumptions'!$B$107</f>
        <v>457.00199999999995</v>
      </c>
      <c r="E57" s="42">
        <f>E34*E19*'1. Assumptions'!$B$107</f>
        <v>442.26</v>
      </c>
      <c r="F57" s="42">
        <f>F34*F19*'1. Assumptions'!$B$107</f>
        <v>457.00199999999995</v>
      </c>
      <c r="G57" s="42">
        <f>G34*G19*'1. Assumptions'!$B$107</f>
        <v>442.26</v>
      </c>
      <c r="H57" s="42">
        <f>H34*H19*'1. Assumptions'!$B$107</f>
        <v>457.00199999999995</v>
      </c>
      <c r="I57" s="42">
        <f>I34*I19*'1. Assumptions'!$B$107</f>
        <v>457.00199999999995</v>
      </c>
      <c r="J57" s="42">
        <f>J34*J19*'1. Assumptions'!$B$107</f>
        <v>442.26</v>
      </c>
      <c r="K57" s="42">
        <f>K34*K19*'1. Assumptions'!$B$107</f>
        <v>457.00199999999995</v>
      </c>
      <c r="L57" s="42">
        <f>L34*L19*'1. Assumptions'!$B$107</f>
        <v>442.26</v>
      </c>
      <c r="M57" s="42">
        <f>M34*M19*'1. Assumptions'!$B$107</f>
        <v>457.00199999999995</v>
      </c>
    </row>
    <row r="58" spans="1:13" x14ac:dyDescent="0.2">
      <c r="A58" s="31" t="s">
        <v>123</v>
      </c>
      <c r="B58" s="43">
        <f>SUM(B55:B57)</f>
        <v>1595.8799999999999</v>
      </c>
      <c r="C58" s="43">
        <f t="shared" ref="C58:M58" si="10">SUM(C55:C57)</f>
        <v>1441.44</v>
      </c>
      <c r="D58" s="43">
        <f t="shared" si="10"/>
        <v>1595.8799999999999</v>
      </c>
      <c r="E58" s="43">
        <f t="shared" si="10"/>
        <v>1544.3999999999999</v>
      </c>
      <c r="F58" s="43">
        <f t="shared" si="10"/>
        <v>1595.8799999999999</v>
      </c>
      <c r="G58" s="43">
        <f t="shared" si="10"/>
        <v>1544.3999999999999</v>
      </c>
      <c r="H58" s="43">
        <f t="shared" si="10"/>
        <v>1595.8799999999999</v>
      </c>
      <c r="I58" s="43">
        <f t="shared" si="10"/>
        <v>1595.8799999999999</v>
      </c>
      <c r="J58" s="43">
        <f t="shared" si="10"/>
        <v>1544.3999999999999</v>
      </c>
      <c r="K58" s="43">
        <f t="shared" si="10"/>
        <v>1595.8799999999999</v>
      </c>
      <c r="L58" s="43">
        <f t="shared" si="10"/>
        <v>1544.3999999999999</v>
      </c>
      <c r="M58" s="43">
        <f t="shared" si="10"/>
        <v>1595.8799999999999</v>
      </c>
    </row>
    <row r="59" spans="1:13" x14ac:dyDescent="0.2">
      <c r="A59" s="17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">
      <c r="A60" s="30" t="s">
        <v>122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">
      <c r="A61" s="32" t="s">
        <v>103</v>
      </c>
      <c r="B61" s="42">
        <f>B35*B17*'1. Assumptions'!$B$101</f>
        <v>279.279</v>
      </c>
      <c r="C61" s="42">
        <f>C35*C17*'1. Assumptions'!$B$101</f>
        <v>252.25200000000001</v>
      </c>
      <c r="D61" s="42">
        <f>D35*D17*'1. Assumptions'!$B$101</f>
        <v>279.279</v>
      </c>
      <c r="E61" s="42">
        <f>E35*E17*'1. Assumptions'!$B$101</f>
        <v>270.27</v>
      </c>
      <c r="F61" s="42">
        <f>F35*F17*'1. Assumptions'!$B$101</f>
        <v>279.279</v>
      </c>
      <c r="G61" s="42">
        <f>G35*G17*'1. Assumptions'!$B$101</f>
        <v>270.27</v>
      </c>
      <c r="H61" s="42">
        <f>H35*H17*'1. Assumptions'!$B$101</f>
        <v>279.279</v>
      </c>
      <c r="I61" s="42">
        <f>I35*I17*'1. Assumptions'!$B$101</f>
        <v>279.279</v>
      </c>
      <c r="J61" s="42">
        <f>J35*J17*'1. Assumptions'!$B$101</f>
        <v>270.27</v>
      </c>
      <c r="K61" s="42">
        <f>K35*K17*'1. Assumptions'!$B$101</f>
        <v>279.279</v>
      </c>
      <c r="L61" s="42">
        <f>L35*L17*'1. Assumptions'!$B$101</f>
        <v>270.27</v>
      </c>
      <c r="M61" s="42">
        <f>M35*M17*'1. Assumptions'!$B$101</f>
        <v>279.279</v>
      </c>
    </row>
    <row r="62" spans="1:13" x14ac:dyDescent="0.2">
      <c r="A62" s="32" t="s">
        <v>100</v>
      </c>
      <c r="B62" s="42">
        <f>B35*B18*'1. Assumptions'!$B$104</f>
        <v>290.15999999999997</v>
      </c>
      <c r="C62" s="42">
        <f>C35*C18*'1. Assumptions'!$B$104</f>
        <v>262.08</v>
      </c>
      <c r="D62" s="42">
        <f>D35*D18*'1. Assumptions'!$B$104</f>
        <v>290.15999999999997</v>
      </c>
      <c r="E62" s="42">
        <f>E35*E18*'1. Assumptions'!$B$104</f>
        <v>280.79999999999995</v>
      </c>
      <c r="F62" s="42">
        <f>F35*F18*'1. Assumptions'!$B$104</f>
        <v>290.15999999999997</v>
      </c>
      <c r="G62" s="42">
        <f>G35*G18*'1. Assumptions'!$B$104</f>
        <v>280.79999999999995</v>
      </c>
      <c r="H62" s="42">
        <f>H35*H18*'1. Assumptions'!$B$104</f>
        <v>290.15999999999997</v>
      </c>
      <c r="I62" s="42">
        <f>I35*I18*'1. Assumptions'!$B$104</f>
        <v>290.15999999999997</v>
      </c>
      <c r="J62" s="42">
        <f>J35*J18*'1. Assumptions'!$B$104</f>
        <v>280.79999999999995</v>
      </c>
      <c r="K62" s="42">
        <f>K35*K18*'1. Assumptions'!$B$104</f>
        <v>290.15999999999997</v>
      </c>
      <c r="L62" s="42">
        <f>L35*L18*'1. Assumptions'!$B$104</f>
        <v>280.79999999999995</v>
      </c>
      <c r="M62" s="42">
        <f>M35*M18*'1. Assumptions'!$B$104</f>
        <v>290.15999999999997</v>
      </c>
    </row>
    <row r="63" spans="1:13" x14ac:dyDescent="0.2">
      <c r="A63" s="32" t="s">
        <v>99</v>
      </c>
      <c r="B63" s="42">
        <f>B35*B19*'1. Assumptions'!$B$107</f>
        <v>228.50099999999998</v>
      </c>
      <c r="C63" s="42">
        <f>C35*C19*'1. Assumptions'!$B$107</f>
        <v>206.38799999999998</v>
      </c>
      <c r="D63" s="42">
        <f>D35*D19*'1. Assumptions'!$B$107</f>
        <v>228.50099999999998</v>
      </c>
      <c r="E63" s="42">
        <f>E35*E19*'1. Assumptions'!$B$107</f>
        <v>221.13</v>
      </c>
      <c r="F63" s="42">
        <f>F35*F19*'1. Assumptions'!$B$107</f>
        <v>228.50099999999998</v>
      </c>
      <c r="G63" s="42">
        <f>G35*G19*'1. Assumptions'!$B$107</f>
        <v>221.13</v>
      </c>
      <c r="H63" s="42">
        <f>H35*H19*'1. Assumptions'!$B$107</f>
        <v>228.50099999999998</v>
      </c>
      <c r="I63" s="42">
        <f>I35*I19*'1. Assumptions'!$B$107</f>
        <v>228.50099999999998</v>
      </c>
      <c r="J63" s="42">
        <f>J35*J19*'1. Assumptions'!$B$107</f>
        <v>221.13</v>
      </c>
      <c r="K63" s="42">
        <f>K35*K19*'1. Assumptions'!$B$107</f>
        <v>228.50099999999998</v>
      </c>
      <c r="L63" s="42">
        <f>L35*L19*'1. Assumptions'!$B$107</f>
        <v>221.13</v>
      </c>
      <c r="M63" s="42">
        <f>M35*M19*'1. Assumptions'!$B$107</f>
        <v>228.50099999999998</v>
      </c>
    </row>
    <row r="64" spans="1:13" x14ac:dyDescent="0.2">
      <c r="A64" s="33" t="s">
        <v>123</v>
      </c>
      <c r="B64" s="43">
        <f>SUM(B61:B63)</f>
        <v>797.93999999999994</v>
      </c>
      <c r="C64" s="43">
        <f t="shared" ref="C64:M64" si="11">SUM(C61:C63)</f>
        <v>720.72</v>
      </c>
      <c r="D64" s="43">
        <f t="shared" si="11"/>
        <v>797.93999999999994</v>
      </c>
      <c r="E64" s="43">
        <f t="shared" si="11"/>
        <v>772.19999999999993</v>
      </c>
      <c r="F64" s="43">
        <f t="shared" si="11"/>
        <v>797.93999999999994</v>
      </c>
      <c r="G64" s="43">
        <f t="shared" si="11"/>
        <v>772.19999999999993</v>
      </c>
      <c r="H64" s="43">
        <f t="shared" si="11"/>
        <v>797.93999999999994</v>
      </c>
      <c r="I64" s="43">
        <f t="shared" si="11"/>
        <v>797.93999999999994</v>
      </c>
      <c r="J64" s="43">
        <f t="shared" si="11"/>
        <v>772.19999999999993</v>
      </c>
      <c r="K64" s="43">
        <f t="shared" si="11"/>
        <v>797.93999999999994</v>
      </c>
      <c r="L64" s="43">
        <f t="shared" si="11"/>
        <v>772.19999999999993</v>
      </c>
      <c r="M64" s="43">
        <f t="shared" si="11"/>
        <v>797.93999999999994</v>
      </c>
    </row>
    <row r="65" spans="1:13" x14ac:dyDescent="0.2">
      <c r="A65" s="17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">
      <c r="A66" s="32" t="s">
        <v>124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">
      <c r="A67" s="32" t="s">
        <v>103</v>
      </c>
      <c r="B67" s="42">
        <f>B36*B17*'1. Assumptions'!$B$101</f>
        <v>279.279</v>
      </c>
      <c r="C67" s="42">
        <f>C36*C17*'1. Assumptions'!$B$101</f>
        <v>252.25200000000001</v>
      </c>
      <c r="D67" s="42">
        <f>D36*D17*'1. Assumptions'!$B$101</f>
        <v>279.279</v>
      </c>
      <c r="E67" s="42">
        <f>E36*E17*'1. Assumptions'!$B$101</f>
        <v>270.27</v>
      </c>
      <c r="F67" s="42">
        <f>F36*F17*'1. Assumptions'!$B$101</f>
        <v>279.279</v>
      </c>
      <c r="G67" s="42">
        <f>G36*G17*'1. Assumptions'!$B$101</f>
        <v>270.27</v>
      </c>
      <c r="H67" s="42">
        <f>H36*H17*'1. Assumptions'!$B$101</f>
        <v>279.279</v>
      </c>
      <c r="I67" s="42">
        <f>I36*I17*'1. Assumptions'!$B$101</f>
        <v>279.279</v>
      </c>
      <c r="J67" s="42">
        <f>J36*J17*'1. Assumptions'!$B$101</f>
        <v>270.27</v>
      </c>
      <c r="K67" s="42">
        <f>K36*K17*'1. Assumptions'!$B$101</f>
        <v>279.279</v>
      </c>
      <c r="L67" s="42">
        <f>L36*L17*'1. Assumptions'!$B$101</f>
        <v>270.27</v>
      </c>
      <c r="M67" s="42">
        <f>M36*M17*'1. Assumptions'!$B$101</f>
        <v>279.279</v>
      </c>
    </row>
    <row r="68" spans="1:13" x14ac:dyDescent="0.2">
      <c r="A68" s="32" t="s">
        <v>100</v>
      </c>
      <c r="B68" s="42">
        <f>B36*B18*'1. Assumptions'!$B$104</f>
        <v>290.15999999999997</v>
      </c>
      <c r="C68" s="42">
        <f>C36*C18*'1. Assumptions'!$B$104</f>
        <v>262.08</v>
      </c>
      <c r="D68" s="42">
        <f>D36*D18*'1. Assumptions'!$B$104</f>
        <v>290.15999999999997</v>
      </c>
      <c r="E68" s="42">
        <f>E36*E18*'1. Assumptions'!$B$104</f>
        <v>280.79999999999995</v>
      </c>
      <c r="F68" s="42">
        <f>F36*F18*'1. Assumptions'!$B$104</f>
        <v>290.15999999999997</v>
      </c>
      <c r="G68" s="42">
        <f>G36*G18*'1. Assumptions'!$B$104</f>
        <v>280.79999999999995</v>
      </c>
      <c r="H68" s="42">
        <f>H36*H18*'1. Assumptions'!$B$104</f>
        <v>290.15999999999997</v>
      </c>
      <c r="I68" s="42">
        <f>I36*I18*'1. Assumptions'!$B$104</f>
        <v>290.15999999999997</v>
      </c>
      <c r="J68" s="42">
        <f>J36*J18*'1. Assumptions'!$B$104</f>
        <v>280.79999999999995</v>
      </c>
      <c r="K68" s="42">
        <f>K36*K18*'1. Assumptions'!$B$104</f>
        <v>290.15999999999997</v>
      </c>
      <c r="L68" s="42">
        <f>L36*L18*'1. Assumptions'!$B$104</f>
        <v>280.79999999999995</v>
      </c>
      <c r="M68" s="42">
        <f>M36*M18*'1. Assumptions'!$B$104</f>
        <v>290.15999999999997</v>
      </c>
    </row>
    <row r="69" spans="1:13" x14ac:dyDescent="0.2">
      <c r="A69" s="32" t="s">
        <v>99</v>
      </c>
      <c r="B69" s="42">
        <f>B36*B19*'1. Assumptions'!$B$107</f>
        <v>228.50099999999998</v>
      </c>
      <c r="C69" s="42">
        <f>C36*C19*'1. Assumptions'!$B$107</f>
        <v>206.38799999999998</v>
      </c>
      <c r="D69" s="42">
        <f>D36*D19*'1. Assumptions'!$B$107</f>
        <v>228.50099999999998</v>
      </c>
      <c r="E69" s="42">
        <f>E36*E19*'1. Assumptions'!$B$107</f>
        <v>221.13</v>
      </c>
      <c r="F69" s="42">
        <f>F36*F19*'1. Assumptions'!$B$107</f>
        <v>228.50099999999998</v>
      </c>
      <c r="G69" s="42">
        <f>G36*G19*'1. Assumptions'!$B$107</f>
        <v>221.13</v>
      </c>
      <c r="H69" s="42">
        <f>H36*H19*'1. Assumptions'!$B$107</f>
        <v>228.50099999999998</v>
      </c>
      <c r="I69" s="42">
        <f>I36*I19*'1. Assumptions'!$B$107</f>
        <v>228.50099999999998</v>
      </c>
      <c r="J69" s="42">
        <f>J36*J19*'1. Assumptions'!$B$107</f>
        <v>221.13</v>
      </c>
      <c r="K69" s="42">
        <f>K36*K19*'1. Assumptions'!$B$107</f>
        <v>228.50099999999998</v>
      </c>
      <c r="L69" s="42">
        <f>L36*L19*'1. Assumptions'!$B$107</f>
        <v>221.13</v>
      </c>
      <c r="M69" s="42">
        <f>M36*M19*'1. Assumptions'!$B$107</f>
        <v>228.50099999999998</v>
      </c>
    </row>
    <row r="70" spans="1:13" x14ac:dyDescent="0.2">
      <c r="A70" s="33" t="s">
        <v>123</v>
      </c>
      <c r="B70" s="43">
        <f>SUM(B67:B69)</f>
        <v>797.93999999999994</v>
      </c>
      <c r="C70" s="43">
        <f t="shared" ref="C70:M70" si="12">SUM(C67:C69)</f>
        <v>720.72</v>
      </c>
      <c r="D70" s="43">
        <f t="shared" si="12"/>
        <v>797.93999999999994</v>
      </c>
      <c r="E70" s="43">
        <f t="shared" si="12"/>
        <v>772.19999999999993</v>
      </c>
      <c r="F70" s="43">
        <f t="shared" si="12"/>
        <v>797.93999999999994</v>
      </c>
      <c r="G70" s="43">
        <f t="shared" si="12"/>
        <v>772.19999999999993</v>
      </c>
      <c r="H70" s="43">
        <f t="shared" si="12"/>
        <v>797.93999999999994</v>
      </c>
      <c r="I70" s="43">
        <f t="shared" si="12"/>
        <v>797.93999999999994</v>
      </c>
      <c r="J70" s="43">
        <f t="shared" si="12"/>
        <v>772.19999999999993</v>
      </c>
      <c r="K70" s="43">
        <f t="shared" si="12"/>
        <v>797.93999999999994</v>
      </c>
      <c r="L70" s="43">
        <f t="shared" si="12"/>
        <v>772.19999999999993</v>
      </c>
      <c r="M70" s="43">
        <f t="shared" si="12"/>
        <v>797.93999999999994</v>
      </c>
    </row>
    <row r="71" spans="1:13" x14ac:dyDescent="0.2">
      <c r="A71" s="17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">
      <c r="A72" s="32" t="s">
        <v>125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">
      <c r="A73" s="32" t="s">
        <v>103</v>
      </c>
      <c r="B73" s="42">
        <f>B37*B17*'1. Assumptions'!$B$101</f>
        <v>279.279</v>
      </c>
      <c r="C73" s="42">
        <f>C37*C17*'1. Assumptions'!$B$101</f>
        <v>252.25200000000001</v>
      </c>
      <c r="D73" s="42">
        <f>D37*D17*'1. Assumptions'!$B$101</f>
        <v>279.279</v>
      </c>
      <c r="E73" s="42">
        <f>E37*E17*'1. Assumptions'!$B$101</f>
        <v>270.27</v>
      </c>
      <c r="F73" s="42">
        <f>F37*F17*'1. Assumptions'!$B$101</f>
        <v>279.279</v>
      </c>
      <c r="G73" s="42">
        <f>G37*G17*'1. Assumptions'!$B$101</f>
        <v>270.27</v>
      </c>
      <c r="H73" s="42">
        <f>H37*H17*'1. Assumptions'!$B$101</f>
        <v>279.279</v>
      </c>
      <c r="I73" s="42">
        <f>I37*I17*'1. Assumptions'!$B$101</f>
        <v>279.279</v>
      </c>
      <c r="J73" s="42">
        <f>J37*J17*'1. Assumptions'!$B$101</f>
        <v>270.27</v>
      </c>
      <c r="K73" s="42">
        <f>K37*K17*'1. Assumptions'!$B$101</f>
        <v>279.279</v>
      </c>
      <c r="L73" s="42">
        <f>L37*L17*'1. Assumptions'!$B$101</f>
        <v>270.27</v>
      </c>
      <c r="M73" s="42">
        <f>M37*M17*'1. Assumptions'!$B$101</f>
        <v>279.279</v>
      </c>
    </row>
    <row r="74" spans="1:13" x14ac:dyDescent="0.2">
      <c r="A74" s="32" t="s">
        <v>100</v>
      </c>
      <c r="B74" s="42">
        <f>B37*B18*'1. Assumptions'!$B$104</f>
        <v>290.15999999999997</v>
      </c>
      <c r="C74" s="42">
        <f>C37*C18*'1. Assumptions'!$B$104</f>
        <v>262.08</v>
      </c>
      <c r="D74" s="42">
        <f>D37*D18*'1. Assumptions'!$B$104</f>
        <v>290.15999999999997</v>
      </c>
      <c r="E74" s="42">
        <f>E37*E18*'1. Assumptions'!$B$104</f>
        <v>280.79999999999995</v>
      </c>
      <c r="F74" s="42">
        <f>F37*F18*'1. Assumptions'!$B$104</f>
        <v>290.15999999999997</v>
      </c>
      <c r="G74" s="42">
        <f>G37*G18*'1. Assumptions'!$B$104</f>
        <v>280.79999999999995</v>
      </c>
      <c r="H74" s="42">
        <f>H37*H18*'1. Assumptions'!$B$104</f>
        <v>290.15999999999997</v>
      </c>
      <c r="I74" s="42">
        <f>I37*I18*'1. Assumptions'!$B$104</f>
        <v>290.15999999999997</v>
      </c>
      <c r="J74" s="42">
        <f>J37*J18*'1. Assumptions'!$B$104</f>
        <v>280.79999999999995</v>
      </c>
      <c r="K74" s="42">
        <f>K37*K18*'1. Assumptions'!$B$104</f>
        <v>290.15999999999997</v>
      </c>
      <c r="L74" s="42">
        <f>L37*L18*'1. Assumptions'!$B$104</f>
        <v>280.79999999999995</v>
      </c>
      <c r="M74" s="42">
        <f>M37*M18*'1. Assumptions'!$B$104</f>
        <v>290.15999999999997</v>
      </c>
    </row>
    <row r="75" spans="1:13" x14ac:dyDescent="0.2">
      <c r="A75" s="32" t="s">
        <v>99</v>
      </c>
      <c r="B75" s="42">
        <f>B37*B19*'1. Assumptions'!$B$107</f>
        <v>228.50099999999998</v>
      </c>
      <c r="C75" s="42">
        <f>C37*C19*'1. Assumptions'!$B$107</f>
        <v>206.38799999999998</v>
      </c>
      <c r="D75" s="42">
        <f>D37*D19*'1. Assumptions'!$B$107</f>
        <v>228.50099999999998</v>
      </c>
      <c r="E75" s="42">
        <f>E37*E19*'1. Assumptions'!$B$107</f>
        <v>221.13</v>
      </c>
      <c r="F75" s="42">
        <f>F37*F19*'1. Assumptions'!$B$107</f>
        <v>228.50099999999998</v>
      </c>
      <c r="G75" s="42">
        <f>G37*G19*'1. Assumptions'!$B$107</f>
        <v>221.13</v>
      </c>
      <c r="H75" s="42">
        <f>H37*H19*'1. Assumptions'!$B$107</f>
        <v>228.50099999999998</v>
      </c>
      <c r="I75" s="42">
        <f>I37*I19*'1. Assumptions'!$B$107</f>
        <v>228.50099999999998</v>
      </c>
      <c r="J75" s="42">
        <f>J37*J19*'1. Assumptions'!$B$107</f>
        <v>221.13</v>
      </c>
      <c r="K75" s="42">
        <f>K37*K19*'1. Assumptions'!$B$107</f>
        <v>228.50099999999998</v>
      </c>
      <c r="L75" s="42">
        <f>L37*L19*'1. Assumptions'!$B$107</f>
        <v>221.13</v>
      </c>
      <c r="M75" s="42">
        <f>M37*M19*'1. Assumptions'!$B$107</f>
        <v>228.50099999999998</v>
      </c>
    </row>
    <row r="76" spans="1:13" x14ac:dyDescent="0.2">
      <c r="A76" s="33" t="s">
        <v>123</v>
      </c>
      <c r="B76" s="43">
        <f>SUM(B73:B75)</f>
        <v>797.93999999999994</v>
      </c>
      <c r="C76" s="43">
        <f t="shared" ref="C76:M76" si="13">SUM(C73:C75)</f>
        <v>720.72</v>
      </c>
      <c r="D76" s="43">
        <f t="shared" si="13"/>
        <v>797.93999999999994</v>
      </c>
      <c r="E76" s="43">
        <f t="shared" si="13"/>
        <v>772.19999999999993</v>
      </c>
      <c r="F76" s="43">
        <f t="shared" si="13"/>
        <v>797.93999999999994</v>
      </c>
      <c r="G76" s="43">
        <f t="shared" si="13"/>
        <v>772.19999999999993</v>
      </c>
      <c r="H76" s="43">
        <f t="shared" si="13"/>
        <v>797.93999999999994</v>
      </c>
      <c r="I76" s="43">
        <f t="shared" si="13"/>
        <v>797.93999999999994</v>
      </c>
      <c r="J76" s="43">
        <f t="shared" si="13"/>
        <v>772.19999999999993</v>
      </c>
      <c r="K76" s="43">
        <f t="shared" si="13"/>
        <v>797.93999999999994</v>
      </c>
      <c r="L76" s="43">
        <f t="shared" si="13"/>
        <v>772.19999999999993</v>
      </c>
      <c r="M76" s="43">
        <f t="shared" si="13"/>
        <v>797.93999999999994</v>
      </c>
    </row>
    <row r="77" spans="1:13" x14ac:dyDescent="0.2">
      <c r="A77" s="3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x14ac:dyDescent="0.2">
      <c r="A78" s="31" t="s">
        <v>28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x14ac:dyDescent="0.2">
      <c r="A79" s="32" t="s">
        <v>103</v>
      </c>
      <c r="B79" s="42">
        <f>B38*B17*'1. Assumptions'!$B$101</f>
        <v>279.279</v>
      </c>
      <c r="C79" s="42">
        <f>C38*C17*'1. Assumptions'!$B$101</f>
        <v>252.25200000000001</v>
      </c>
      <c r="D79" s="42">
        <f>D38*D17*'1. Assumptions'!$B$101</f>
        <v>279.279</v>
      </c>
      <c r="E79" s="42">
        <f>E38*E17*'1. Assumptions'!$B$101</f>
        <v>270.27</v>
      </c>
      <c r="F79" s="42">
        <f>F38*F17*'1. Assumptions'!$B$101</f>
        <v>279.279</v>
      </c>
      <c r="G79" s="42">
        <f>G38*G17*'1. Assumptions'!$B$101</f>
        <v>270.27</v>
      </c>
      <c r="H79" s="42">
        <f>H38*H17*'1. Assumptions'!$B$101</f>
        <v>279.279</v>
      </c>
      <c r="I79" s="42">
        <f>I38*I17*'1. Assumptions'!$B$101</f>
        <v>279.279</v>
      </c>
      <c r="J79" s="42">
        <f>J38*J17*'1. Assumptions'!$B$101</f>
        <v>270.27</v>
      </c>
      <c r="K79" s="42">
        <f>K38*K17*'1. Assumptions'!$B$101</f>
        <v>279.279</v>
      </c>
      <c r="L79" s="42">
        <f>L38*L17*'1. Assumptions'!$B$101</f>
        <v>270.27</v>
      </c>
      <c r="M79" s="42">
        <f>M38*M17*'1. Assumptions'!$B$101</f>
        <v>279.279</v>
      </c>
    </row>
    <row r="80" spans="1:13" x14ac:dyDescent="0.2">
      <c r="A80" s="32" t="s">
        <v>100</v>
      </c>
      <c r="B80" s="42">
        <f>B38*B18*'1. Assumptions'!$B$104</f>
        <v>290.15999999999997</v>
      </c>
      <c r="C80" s="42">
        <f>C38*C18*'1. Assumptions'!$B$104</f>
        <v>262.08</v>
      </c>
      <c r="D80" s="42">
        <f>D38*D18*'1. Assumptions'!$B$104</f>
        <v>290.15999999999997</v>
      </c>
      <c r="E80" s="42">
        <f>E38*E18*'1. Assumptions'!$B$104</f>
        <v>280.79999999999995</v>
      </c>
      <c r="F80" s="42">
        <f>F38*F18*'1. Assumptions'!$B$104</f>
        <v>290.15999999999997</v>
      </c>
      <c r="G80" s="42">
        <f>G38*G18*'1. Assumptions'!$B$104</f>
        <v>280.79999999999995</v>
      </c>
      <c r="H80" s="42">
        <f>H38*H18*'1. Assumptions'!$B$104</f>
        <v>290.15999999999997</v>
      </c>
      <c r="I80" s="42">
        <f>I38*I18*'1. Assumptions'!$B$104</f>
        <v>290.15999999999997</v>
      </c>
      <c r="J80" s="42">
        <f>J38*J18*'1. Assumptions'!$B$104</f>
        <v>280.79999999999995</v>
      </c>
      <c r="K80" s="42">
        <f>K38*K18*'1. Assumptions'!$B$104</f>
        <v>290.15999999999997</v>
      </c>
      <c r="L80" s="42">
        <f>L38*L18*'1. Assumptions'!$B$104</f>
        <v>280.79999999999995</v>
      </c>
      <c r="M80" s="42">
        <f>M38*M18*'1. Assumptions'!$B$104</f>
        <v>290.15999999999997</v>
      </c>
    </row>
    <row r="81" spans="1:13" x14ac:dyDescent="0.2">
      <c r="A81" s="32" t="s">
        <v>99</v>
      </c>
      <c r="B81" s="42">
        <f>B38*B19*'1. Assumptions'!$B$107</f>
        <v>228.50099999999998</v>
      </c>
      <c r="C81" s="42">
        <f>C38*C19*'1. Assumptions'!$B$107</f>
        <v>206.38799999999998</v>
      </c>
      <c r="D81" s="42">
        <f>D38*D19*'1. Assumptions'!$B$107</f>
        <v>228.50099999999998</v>
      </c>
      <c r="E81" s="42">
        <f>E38*E19*'1. Assumptions'!$B$107</f>
        <v>221.13</v>
      </c>
      <c r="F81" s="42">
        <f>F38*F19*'1. Assumptions'!$B$107</f>
        <v>228.50099999999998</v>
      </c>
      <c r="G81" s="42">
        <f>G38*G19*'1. Assumptions'!$B$107</f>
        <v>221.13</v>
      </c>
      <c r="H81" s="42">
        <f>H38*H19*'1. Assumptions'!$B$107</f>
        <v>228.50099999999998</v>
      </c>
      <c r="I81" s="42">
        <f>I38*I19*'1. Assumptions'!$B$107</f>
        <v>228.50099999999998</v>
      </c>
      <c r="J81" s="42">
        <f>J38*J19*'1. Assumptions'!$B$107</f>
        <v>221.13</v>
      </c>
      <c r="K81" s="42">
        <f>K38*K19*'1. Assumptions'!$B$107</f>
        <v>228.50099999999998</v>
      </c>
      <c r="L81" s="42">
        <f>L38*L19*'1. Assumptions'!$B$107</f>
        <v>221.13</v>
      </c>
      <c r="M81" s="42">
        <f>M38*M19*'1. Assumptions'!$B$107</f>
        <v>228.50099999999998</v>
      </c>
    </row>
    <row r="82" spans="1:13" x14ac:dyDescent="0.2">
      <c r="A82" s="33" t="s">
        <v>123</v>
      </c>
      <c r="B82" s="43">
        <f>SUM(B79:B81)</f>
        <v>797.93999999999994</v>
      </c>
      <c r="C82" s="43">
        <f t="shared" ref="C82:M82" si="14">SUM(C79:C81)</f>
        <v>720.72</v>
      </c>
      <c r="D82" s="43">
        <f t="shared" si="14"/>
        <v>797.93999999999994</v>
      </c>
      <c r="E82" s="43">
        <f t="shared" si="14"/>
        <v>772.19999999999993</v>
      </c>
      <c r="F82" s="43">
        <f t="shared" si="14"/>
        <v>797.93999999999994</v>
      </c>
      <c r="G82" s="43">
        <f t="shared" si="14"/>
        <v>772.19999999999993</v>
      </c>
      <c r="H82" s="43">
        <f t="shared" si="14"/>
        <v>797.93999999999994</v>
      </c>
      <c r="I82" s="43">
        <f t="shared" si="14"/>
        <v>797.93999999999994</v>
      </c>
      <c r="J82" s="43">
        <f t="shared" si="14"/>
        <v>772.19999999999993</v>
      </c>
      <c r="K82" s="43">
        <f t="shared" si="14"/>
        <v>797.93999999999994</v>
      </c>
      <c r="L82" s="43">
        <f t="shared" si="14"/>
        <v>772.19999999999993</v>
      </c>
      <c r="M82" s="43">
        <f t="shared" si="14"/>
        <v>797.93999999999994</v>
      </c>
    </row>
    <row r="83" spans="1:13" x14ac:dyDescent="0.2">
      <c r="A83" s="34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x14ac:dyDescent="0.2">
      <c r="A84" s="31" t="s">
        <v>126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x14ac:dyDescent="0.2">
      <c r="A85" s="32" t="s">
        <v>103</v>
      </c>
      <c r="B85" s="42">
        <f>B39*B17*'1. Assumptions'!$B$101</f>
        <v>279.279</v>
      </c>
      <c r="C85" s="42">
        <f>C39*C17*'1. Assumptions'!$B$101</f>
        <v>252.25200000000001</v>
      </c>
      <c r="D85" s="42">
        <f>D39*D17*'1. Assumptions'!$B$101</f>
        <v>279.279</v>
      </c>
      <c r="E85" s="42">
        <f>E39*E17*'1. Assumptions'!$B$101</f>
        <v>270.27</v>
      </c>
      <c r="F85" s="42">
        <f>F39*F17*'1. Assumptions'!$B$101</f>
        <v>279.279</v>
      </c>
      <c r="G85" s="42">
        <f>G39*G17*'1. Assumptions'!$B$101</f>
        <v>270.27</v>
      </c>
      <c r="H85" s="42">
        <f>H39*H17*'1. Assumptions'!$B$101</f>
        <v>279.279</v>
      </c>
      <c r="I85" s="42">
        <f>I39*I17*'1. Assumptions'!$B$101</f>
        <v>279.279</v>
      </c>
      <c r="J85" s="42">
        <f>J39*J17*'1. Assumptions'!$B$101</f>
        <v>270.27</v>
      </c>
      <c r="K85" s="42">
        <f>K39*K17*'1. Assumptions'!$B$101</f>
        <v>279.279</v>
      </c>
      <c r="L85" s="42">
        <f>L39*L17*'1. Assumptions'!$B$101</f>
        <v>270.27</v>
      </c>
      <c r="M85" s="42">
        <f>M39*M17*'1. Assumptions'!$B$101</f>
        <v>279.279</v>
      </c>
    </row>
    <row r="86" spans="1:13" x14ac:dyDescent="0.2">
      <c r="A86" s="32" t="s">
        <v>100</v>
      </c>
      <c r="B86" s="42">
        <f>B39*B18*'1. Assumptions'!$B$104</f>
        <v>290.15999999999997</v>
      </c>
      <c r="C86" s="42">
        <f>C39*C18*'1. Assumptions'!$B$104</f>
        <v>262.08</v>
      </c>
      <c r="D86" s="42">
        <f>D39*D18*'1. Assumptions'!$B$104</f>
        <v>290.15999999999997</v>
      </c>
      <c r="E86" s="42">
        <f>E39*E18*'1. Assumptions'!$B$104</f>
        <v>280.79999999999995</v>
      </c>
      <c r="F86" s="42">
        <f>F39*F18*'1. Assumptions'!$B$104</f>
        <v>290.15999999999997</v>
      </c>
      <c r="G86" s="42">
        <f>G39*G18*'1. Assumptions'!$B$104</f>
        <v>280.79999999999995</v>
      </c>
      <c r="H86" s="42">
        <f>H39*H18*'1. Assumptions'!$B$104</f>
        <v>290.15999999999997</v>
      </c>
      <c r="I86" s="42">
        <f>I39*I18*'1. Assumptions'!$B$104</f>
        <v>290.15999999999997</v>
      </c>
      <c r="J86" s="42">
        <f>J39*J18*'1. Assumptions'!$B$104</f>
        <v>280.79999999999995</v>
      </c>
      <c r="K86" s="42">
        <f>K39*K18*'1. Assumptions'!$B$104</f>
        <v>290.15999999999997</v>
      </c>
      <c r="L86" s="42">
        <f>L39*L18*'1. Assumptions'!$B$104</f>
        <v>280.79999999999995</v>
      </c>
      <c r="M86" s="42">
        <f>M39*M18*'1. Assumptions'!$B$104</f>
        <v>290.15999999999997</v>
      </c>
    </row>
    <row r="87" spans="1:13" x14ac:dyDescent="0.2">
      <c r="A87" s="32" t="s">
        <v>99</v>
      </c>
      <c r="B87" s="42">
        <f>B39*B19*'1. Assumptions'!$B$107</f>
        <v>228.50099999999998</v>
      </c>
      <c r="C87" s="42">
        <f>C39*C19*'1. Assumptions'!$B$107</f>
        <v>206.38799999999998</v>
      </c>
      <c r="D87" s="42">
        <f>D39*D19*'1. Assumptions'!$B$107</f>
        <v>228.50099999999998</v>
      </c>
      <c r="E87" s="42">
        <f>E39*E19*'1. Assumptions'!$B$107</f>
        <v>221.13</v>
      </c>
      <c r="F87" s="42">
        <f>F39*F19*'1. Assumptions'!$B$107</f>
        <v>228.50099999999998</v>
      </c>
      <c r="G87" s="42">
        <f>G39*G19*'1. Assumptions'!$B$107</f>
        <v>221.13</v>
      </c>
      <c r="H87" s="42">
        <f>H39*H19*'1. Assumptions'!$B$107</f>
        <v>228.50099999999998</v>
      </c>
      <c r="I87" s="42">
        <f>I39*I19*'1. Assumptions'!$B$107</f>
        <v>228.50099999999998</v>
      </c>
      <c r="J87" s="42">
        <f>J39*J19*'1. Assumptions'!$B$107</f>
        <v>221.13</v>
      </c>
      <c r="K87" s="42">
        <f>K39*K19*'1. Assumptions'!$B$107</f>
        <v>228.50099999999998</v>
      </c>
      <c r="L87" s="42">
        <f>L39*L19*'1. Assumptions'!$B$107</f>
        <v>221.13</v>
      </c>
      <c r="M87" s="42">
        <f>M39*M19*'1. Assumptions'!$B$107</f>
        <v>228.50099999999998</v>
      </c>
    </row>
    <row r="88" spans="1:13" x14ac:dyDescent="0.2">
      <c r="A88" s="33" t="s">
        <v>123</v>
      </c>
      <c r="B88" s="43">
        <f>SUM(B85:B87)</f>
        <v>797.93999999999994</v>
      </c>
      <c r="C88" s="43">
        <f t="shared" ref="C88:M88" si="15">SUM(C85:C87)</f>
        <v>720.72</v>
      </c>
      <c r="D88" s="43">
        <f t="shared" si="15"/>
        <v>797.93999999999994</v>
      </c>
      <c r="E88" s="43">
        <f t="shared" si="15"/>
        <v>772.19999999999993</v>
      </c>
      <c r="F88" s="43">
        <f t="shared" si="15"/>
        <v>797.93999999999994</v>
      </c>
      <c r="G88" s="43">
        <f t="shared" si="15"/>
        <v>772.19999999999993</v>
      </c>
      <c r="H88" s="43">
        <f t="shared" si="15"/>
        <v>797.93999999999994</v>
      </c>
      <c r="I88" s="43">
        <f t="shared" si="15"/>
        <v>797.93999999999994</v>
      </c>
      <c r="J88" s="43">
        <f t="shared" si="15"/>
        <v>772.19999999999993</v>
      </c>
      <c r="K88" s="43">
        <f t="shared" si="15"/>
        <v>797.93999999999994</v>
      </c>
      <c r="L88" s="43">
        <f t="shared" si="15"/>
        <v>772.19999999999993</v>
      </c>
      <c r="M88" s="43">
        <f t="shared" si="15"/>
        <v>797.93999999999994</v>
      </c>
    </row>
    <row r="89" spans="1:13" x14ac:dyDescent="0.2">
      <c r="A89" s="17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x14ac:dyDescent="0.2">
      <c r="A90" s="32" t="s">
        <v>29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x14ac:dyDescent="0.2">
      <c r="A91" s="32" t="s">
        <v>103</v>
      </c>
      <c r="B91" s="42">
        <f>B40*B17*'1. Assumptions'!$B$101</f>
        <v>325.82550000000003</v>
      </c>
      <c r="C91" s="42">
        <f>C40*C17*'1. Assumptions'!$B$101</f>
        <v>294.29400000000004</v>
      </c>
      <c r="D91" s="42">
        <f>D40*D17*'1. Assumptions'!$B$101</f>
        <v>325.82550000000003</v>
      </c>
      <c r="E91" s="42">
        <f>E40*E17*'1. Assumptions'!$B$101</f>
        <v>315.315</v>
      </c>
      <c r="F91" s="42">
        <f>F40*F17*'1. Assumptions'!$B$101</f>
        <v>325.82550000000003</v>
      </c>
      <c r="G91" s="42">
        <f>G40*G17*'1. Assumptions'!$B$101</f>
        <v>315.315</v>
      </c>
      <c r="H91" s="42">
        <f>H40*H17*'1. Assumptions'!$B$101</f>
        <v>325.82550000000003</v>
      </c>
      <c r="I91" s="42">
        <f>I40*I17*'1. Assumptions'!$B$101</f>
        <v>325.82550000000003</v>
      </c>
      <c r="J91" s="42">
        <f>J40*J17*'1. Assumptions'!$B$101</f>
        <v>315.315</v>
      </c>
      <c r="K91" s="42">
        <f>K40*K17*'1. Assumptions'!$B$101</f>
        <v>325.82550000000003</v>
      </c>
      <c r="L91" s="42">
        <f>L40*L17*'1. Assumptions'!$B$101</f>
        <v>315.315</v>
      </c>
      <c r="M91" s="42">
        <f>M40*M17*'1. Assumptions'!$B$101</f>
        <v>325.82550000000003</v>
      </c>
    </row>
    <row r="92" spans="1:13" x14ac:dyDescent="0.2">
      <c r="A92" s="32" t="s">
        <v>100</v>
      </c>
      <c r="B92" s="42">
        <f>B40*B18*'1. Assumptions'!$B$104</f>
        <v>338.52000000000004</v>
      </c>
      <c r="C92" s="42">
        <f>C40*C18*'1. Assumptions'!$B$104</f>
        <v>305.76000000000005</v>
      </c>
      <c r="D92" s="42">
        <f>D40*D18*'1. Assumptions'!$B$104</f>
        <v>338.52000000000004</v>
      </c>
      <c r="E92" s="42">
        <f>E40*E18*'1. Assumptions'!$B$104</f>
        <v>327.60000000000002</v>
      </c>
      <c r="F92" s="42">
        <f>F40*F18*'1. Assumptions'!$B$104</f>
        <v>338.52000000000004</v>
      </c>
      <c r="G92" s="42">
        <f>G40*G18*'1. Assumptions'!$B$104</f>
        <v>327.60000000000002</v>
      </c>
      <c r="H92" s="42">
        <f>H40*H18*'1. Assumptions'!$B$104</f>
        <v>338.52000000000004</v>
      </c>
      <c r="I92" s="42">
        <f>I40*I18*'1. Assumptions'!$B$104</f>
        <v>338.52000000000004</v>
      </c>
      <c r="J92" s="42">
        <f>J40*J18*'1. Assumptions'!$B$104</f>
        <v>327.60000000000002</v>
      </c>
      <c r="K92" s="42">
        <f>K40*K18*'1. Assumptions'!$B$104</f>
        <v>338.52000000000004</v>
      </c>
      <c r="L92" s="42">
        <f>L40*L18*'1. Assumptions'!$B$104</f>
        <v>327.60000000000002</v>
      </c>
      <c r="M92" s="42">
        <f>M40*M18*'1. Assumptions'!$B$104</f>
        <v>338.52000000000004</v>
      </c>
    </row>
    <row r="93" spans="1:13" x14ac:dyDescent="0.2">
      <c r="A93" s="32" t="s">
        <v>99</v>
      </c>
      <c r="B93" s="43">
        <f>B40*B19*'1. Assumptions'!$B$107</f>
        <v>266.58450000000005</v>
      </c>
      <c r="C93" s="43">
        <f>C40*C19*'1. Assumptions'!$B$107</f>
        <v>240.78600000000003</v>
      </c>
      <c r="D93" s="43">
        <f>D40*D19*'1. Assumptions'!$B$107</f>
        <v>266.58450000000005</v>
      </c>
      <c r="E93" s="43">
        <f>E40*E19*'1. Assumptions'!$B$107</f>
        <v>257.98500000000001</v>
      </c>
      <c r="F93" s="43">
        <f>F40*F19*'1. Assumptions'!$B$107</f>
        <v>266.58450000000005</v>
      </c>
      <c r="G93" s="43">
        <f>G40*G19*'1. Assumptions'!$B$107</f>
        <v>257.98500000000001</v>
      </c>
      <c r="H93" s="43">
        <f>H40*H19*'1. Assumptions'!$B$107</f>
        <v>266.58450000000005</v>
      </c>
      <c r="I93" s="43">
        <f>I40*I19*'1. Assumptions'!$B$107</f>
        <v>266.58450000000005</v>
      </c>
      <c r="J93" s="43">
        <f>J40*J19*'1. Assumptions'!$B$107</f>
        <v>257.98500000000001</v>
      </c>
      <c r="K93" s="43">
        <f>K40*K19*'1. Assumptions'!$B$107</f>
        <v>266.58450000000005</v>
      </c>
      <c r="L93" s="43">
        <f>L40*L19*'1. Assumptions'!$B$107</f>
        <v>257.98500000000001</v>
      </c>
      <c r="M93" s="43">
        <f>M40*M19*'1. Assumptions'!$B$107</f>
        <v>266.58450000000005</v>
      </c>
    </row>
    <row r="94" spans="1:13" x14ac:dyDescent="0.2">
      <c r="A94" s="33" t="s">
        <v>123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x14ac:dyDescent="0.2">
      <c r="A95" s="17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x14ac:dyDescent="0.2">
      <c r="A96" s="32" t="s">
        <v>127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x14ac:dyDescent="0.2">
      <c r="A97" s="32" t="s">
        <v>103</v>
      </c>
      <c r="B97" s="42">
        <f>B42*B17*'1. Assumptions'!$B$101</f>
        <v>2094.5925000000002</v>
      </c>
      <c r="C97" s="42">
        <f>C42*C17*'1. Assumptions'!$B$101</f>
        <v>1891.89</v>
      </c>
      <c r="D97" s="42">
        <f>D42*D17*'1. Assumptions'!$B$101</f>
        <v>2094.5925000000002</v>
      </c>
      <c r="E97" s="42">
        <f>E42*E17*'1. Assumptions'!$B$101</f>
        <v>2027.0250000000001</v>
      </c>
      <c r="F97" s="42">
        <f>F42*F17*'1. Assumptions'!$B$101</f>
        <v>2094.5925000000002</v>
      </c>
      <c r="G97" s="42">
        <f>G42*G17*'1. Assumptions'!$B$101</f>
        <v>2027.0250000000001</v>
      </c>
      <c r="H97" s="42">
        <f>H42*H17*'1. Assumptions'!$B$101</f>
        <v>2094.5925000000002</v>
      </c>
      <c r="I97" s="42">
        <f>I42*I17*'1. Assumptions'!$B$101</f>
        <v>2094.5925000000002</v>
      </c>
      <c r="J97" s="42">
        <f>J42*J17*'1. Assumptions'!$B$101</f>
        <v>2027.0250000000001</v>
      </c>
      <c r="K97" s="42">
        <f>K42*K17*'1. Assumptions'!$B$101</f>
        <v>2094.5925000000002</v>
      </c>
      <c r="L97" s="42">
        <f>L42*L17*'1. Assumptions'!$B$101</f>
        <v>2027.0250000000001</v>
      </c>
      <c r="M97" s="42">
        <f>M42*M17*'1. Assumptions'!$B$101</f>
        <v>2094.5925000000002</v>
      </c>
    </row>
    <row r="98" spans="1:13" x14ac:dyDescent="0.2">
      <c r="A98" s="32" t="s">
        <v>100</v>
      </c>
      <c r="B98" s="42">
        <f>B42*B18*'1. Assumptions'!$B$104</f>
        <v>2176.1999999999998</v>
      </c>
      <c r="C98" s="42">
        <f>C42*C18*'1. Assumptions'!$B$104</f>
        <v>1965.6</v>
      </c>
      <c r="D98" s="42">
        <f>D42*D18*'1. Assumptions'!$B$104</f>
        <v>2176.1999999999998</v>
      </c>
      <c r="E98" s="42">
        <f>E42*E18*'1. Assumptions'!$B$104</f>
        <v>2106</v>
      </c>
      <c r="F98" s="42">
        <f>F42*F18*'1. Assumptions'!$B$104</f>
        <v>2176.1999999999998</v>
      </c>
      <c r="G98" s="42">
        <f>G42*G18*'1. Assumptions'!$B$104</f>
        <v>2106</v>
      </c>
      <c r="H98" s="42">
        <f>H42*H18*'1. Assumptions'!$B$104</f>
        <v>2176.1999999999998</v>
      </c>
      <c r="I98" s="42">
        <f>I42*I18*'1. Assumptions'!$B$104</f>
        <v>2176.1999999999998</v>
      </c>
      <c r="J98" s="42">
        <f>J42*J18*'1. Assumptions'!$B$104</f>
        <v>2106</v>
      </c>
      <c r="K98" s="42">
        <f>K42*K18*'1. Assumptions'!$B$104</f>
        <v>2176.1999999999998</v>
      </c>
      <c r="L98" s="42">
        <f>L42*L18*'1. Assumptions'!$B$104</f>
        <v>2106</v>
      </c>
      <c r="M98" s="42">
        <f>M42*M18*'1. Assumptions'!$B$104</f>
        <v>2176.1999999999998</v>
      </c>
    </row>
    <row r="99" spans="1:13" x14ac:dyDescent="0.2">
      <c r="A99" s="32" t="s">
        <v>99</v>
      </c>
      <c r="B99" s="42">
        <f>B42*B19*'1. Assumptions'!$B$107</f>
        <v>1713.7574999999997</v>
      </c>
      <c r="C99" s="42">
        <f>C42*C19*'1. Assumptions'!$B$107</f>
        <v>1547.91</v>
      </c>
      <c r="D99" s="42">
        <f>D42*D19*'1. Assumptions'!$B$107</f>
        <v>1713.7574999999997</v>
      </c>
      <c r="E99" s="42">
        <f>E42*E19*'1. Assumptions'!$B$107</f>
        <v>1658.4749999999999</v>
      </c>
      <c r="F99" s="42">
        <f>F42*F19*'1. Assumptions'!$B$107</f>
        <v>1713.7574999999997</v>
      </c>
      <c r="G99" s="42">
        <f>G42*G19*'1. Assumptions'!$B$107</f>
        <v>1658.4749999999999</v>
      </c>
      <c r="H99" s="42">
        <f>H42*H19*'1. Assumptions'!$B$107</f>
        <v>1713.7574999999997</v>
      </c>
      <c r="I99" s="42">
        <f>I42*I19*'1. Assumptions'!$B$107</f>
        <v>1713.7574999999997</v>
      </c>
      <c r="J99" s="42">
        <f>J42*J19*'1. Assumptions'!$B$107</f>
        <v>1658.4749999999999</v>
      </c>
      <c r="K99" s="42">
        <f>K42*K19*'1. Assumptions'!$B$107</f>
        <v>1713.7574999999997</v>
      </c>
      <c r="L99" s="42">
        <f>L42*L19*'1. Assumptions'!$B$107</f>
        <v>1658.4749999999999</v>
      </c>
      <c r="M99" s="42">
        <f>M42*M19*'1. Assumptions'!$B$107</f>
        <v>1713.7574999999997</v>
      </c>
    </row>
    <row r="100" spans="1:13" x14ac:dyDescent="0.2">
      <c r="A100" s="32" t="s">
        <v>110</v>
      </c>
      <c r="B100" s="43">
        <f>SUM(B97:B99)</f>
        <v>5984.5499999999993</v>
      </c>
      <c r="C100" s="43">
        <f t="shared" ref="C100:M100" si="16">SUM(C97:C99)</f>
        <v>5405.4</v>
      </c>
      <c r="D100" s="43">
        <f t="shared" si="16"/>
        <v>5984.5499999999993</v>
      </c>
      <c r="E100" s="43">
        <f t="shared" si="16"/>
        <v>5791.5</v>
      </c>
      <c r="F100" s="43">
        <f t="shared" si="16"/>
        <v>5984.5499999999993</v>
      </c>
      <c r="G100" s="43">
        <f t="shared" si="16"/>
        <v>5791.5</v>
      </c>
      <c r="H100" s="43">
        <f t="shared" si="16"/>
        <v>5984.5499999999993</v>
      </c>
      <c r="I100" s="43">
        <f t="shared" si="16"/>
        <v>5984.5499999999993</v>
      </c>
      <c r="J100" s="43">
        <f t="shared" si="16"/>
        <v>5791.5</v>
      </c>
      <c r="K100" s="43">
        <f t="shared" si="16"/>
        <v>5984.5499999999993</v>
      </c>
      <c r="L100" s="43">
        <f t="shared" si="16"/>
        <v>5791.5</v>
      </c>
      <c r="M100" s="43">
        <f t="shared" si="16"/>
        <v>5984.5499999999993</v>
      </c>
    </row>
    <row r="101" spans="1:13" x14ac:dyDescent="0.2">
      <c r="A101" s="17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x14ac:dyDescent="0.2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</row>
    <row r="103" spans="1:13" x14ac:dyDescent="0.2">
      <c r="A103" s="40" t="s">
        <v>128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36" t="s">
        <v>113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1:13" x14ac:dyDescent="0.2">
      <c r="A105" s="19" t="s">
        <v>103</v>
      </c>
      <c r="B105" s="44">
        <f>B33*B26*'1. Assumptions'!$B$101</f>
        <v>83.783700000000024</v>
      </c>
      <c r="C105" s="44">
        <f>C33*C26*'1. Assumptions'!$B$101</f>
        <v>75.675600000000017</v>
      </c>
      <c r="D105" s="44">
        <f>D33*D26*'1. Assumptions'!$B$101</f>
        <v>83.783700000000024</v>
      </c>
      <c r="E105" s="44">
        <f>E33*E26*'1. Assumptions'!$B$101</f>
        <v>81.081000000000003</v>
      </c>
      <c r="F105" s="44">
        <f>F33*F26*'1. Assumptions'!$B$101</f>
        <v>83.783700000000024</v>
      </c>
      <c r="G105" s="44">
        <f>G33*G26*'1. Assumptions'!$B$101</f>
        <v>81.081000000000003</v>
      </c>
      <c r="H105" s="44">
        <f>H33*H26*'1. Assumptions'!$B$101</f>
        <v>83.783700000000024</v>
      </c>
      <c r="I105" s="44">
        <f>I33*I26*'1. Assumptions'!$B$101</f>
        <v>83.783700000000024</v>
      </c>
      <c r="J105" s="44">
        <f>J33*J26*'1. Assumptions'!$B$101</f>
        <v>81.081000000000003</v>
      </c>
      <c r="K105" s="44">
        <f>K33*K26*'1. Assumptions'!$B$101</f>
        <v>83.783700000000024</v>
      </c>
      <c r="L105" s="44">
        <f>L33*L26*'1. Assumptions'!$B$101</f>
        <v>81.081000000000003</v>
      </c>
      <c r="M105" s="44">
        <f>M33*M26*'1. Assumptions'!$B$101</f>
        <v>83.783700000000024</v>
      </c>
    </row>
    <row r="106" spans="1:13" x14ac:dyDescent="0.2">
      <c r="A106" s="19" t="s">
        <v>100</v>
      </c>
      <c r="B106" s="44">
        <f>B33*B27*'1. Assumptions'!$B$104</f>
        <v>87.048000000000002</v>
      </c>
      <c r="C106" s="44">
        <f>C33*C27*'1. Assumptions'!$B$104</f>
        <v>78.624000000000009</v>
      </c>
      <c r="D106" s="44">
        <f>D33*D27*'1. Assumptions'!$B$104</f>
        <v>87.048000000000002</v>
      </c>
      <c r="E106" s="44">
        <f>E33*E27*'1. Assumptions'!$B$104</f>
        <v>84.24</v>
      </c>
      <c r="F106" s="44">
        <f>F33*F27*'1. Assumptions'!$B$104</f>
        <v>87.048000000000002</v>
      </c>
      <c r="G106" s="44">
        <f>G33*G27*'1. Assumptions'!$B$104</f>
        <v>84.24</v>
      </c>
      <c r="H106" s="44">
        <f>H33*H27*'1. Assumptions'!$B$104</f>
        <v>87.048000000000002</v>
      </c>
      <c r="I106" s="44">
        <f>I33*I27*'1. Assumptions'!$B$104</f>
        <v>87.048000000000002</v>
      </c>
      <c r="J106" s="44">
        <f>J33*J27*'1. Assumptions'!$B$104</f>
        <v>84.24</v>
      </c>
      <c r="K106" s="44">
        <f>K33*K27*'1. Assumptions'!$B$104</f>
        <v>87.048000000000002</v>
      </c>
      <c r="L106" s="44">
        <f>L33*L27*'1. Assumptions'!$B$104</f>
        <v>84.24</v>
      </c>
      <c r="M106" s="44">
        <f>M33*M27*'1. Assumptions'!$B$104</f>
        <v>87.048000000000002</v>
      </c>
    </row>
    <row r="107" spans="1:13" x14ac:dyDescent="0.2">
      <c r="A107" s="19" t="s">
        <v>99</v>
      </c>
      <c r="B107" s="44">
        <f>B33*B28*'1. Assumptions'!$B$107</f>
        <v>68.550300000000007</v>
      </c>
      <c r="C107" s="44">
        <f>C33*C28*'1. Assumptions'!$B$107</f>
        <v>61.91640000000001</v>
      </c>
      <c r="D107" s="44">
        <f>D33*D28*'1. Assumptions'!$B$107</f>
        <v>68.550300000000007</v>
      </c>
      <c r="E107" s="44">
        <f>E33*E28*'1. Assumptions'!$B$107</f>
        <v>66.338999999999999</v>
      </c>
      <c r="F107" s="44">
        <f>F33*F28*'1. Assumptions'!$B$107</f>
        <v>68.550300000000007</v>
      </c>
      <c r="G107" s="44">
        <f>G33*G28*'1. Assumptions'!$B$107</f>
        <v>66.338999999999999</v>
      </c>
      <c r="H107" s="44">
        <f>H33*H28*'1. Assumptions'!$B$107</f>
        <v>68.550300000000007</v>
      </c>
      <c r="I107" s="44">
        <f>I33*I28*'1. Assumptions'!$B$107</f>
        <v>68.550300000000007</v>
      </c>
      <c r="J107" s="44">
        <f>J33*J28*'1. Assumptions'!$B$107</f>
        <v>66.338999999999999</v>
      </c>
      <c r="K107" s="44">
        <f>K33*K28*'1. Assumptions'!$B$107</f>
        <v>68.550300000000007</v>
      </c>
      <c r="L107" s="44">
        <f>L33*L28*'1. Assumptions'!$B$107</f>
        <v>66.338999999999999</v>
      </c>
      <c r="M107" s="44">
        <f>M33*M28*'1. Assumptions'!$B$107</f>
        <v>68.550300000000007</v>
      </c>
    </row>
    <row r="108" spans="1:13" x14ac:dyDescent="0.2">
      <c r="A108" s="37" t="s">
        <v>123</v>
      </c>
      <c r="B108" s="45">
        <f>SUM(B105:B107)</f>
        <v>239.38200000000001</v>
      </c>
      <c r="C108" s="45">
        <f t="shared" ref="C108:M108" si="17">SUM(C105:C107)</f>
        <v>216.21600000000004</v>
      </c>
      <c r="D108" s="45">
        <f t="shared" si="17"/>
        <v>239.38200000000001</v>
      </c>
      <c r="E108" s="45">
        <f t="shared" si="17"/>
        <v>231.66</v>
      </c>
      <c r="F108" s="45">
        <f t="shared" si="17"/>
        <v>239.38200000000001</v>
      </c>
      <c r="G108" s="45">
        <f t="shared" si="17"/>
        <v>231.66</v>
      </c>
      <c r="H108" s="45">
        <f t="shared" si="17"/>
        <v>239.38200000000001</v>
      </c>
      <c r="I108" s="45">
        <f t="shared" si="17"/>
        <v>239.38200000000001</v>
      </c>
      <c r="J108" s="45">
        <f t="shared" si="17"/>
        <v>231.66</v>
      </c>
      <c r="K108" s="45">
        <f t="shared" si="17"/>
        <v>239.38200000000001</v>
      </c>
      <c r="L108" s="45">
        <f t="shared" si="17"/>
        <v>231.66</v>
      </c>
      <c r="M108" s="45">
        <f t="shared" si="17"/>
        <v>239.38200000000001</v>
      </c>
    </row>
    <row r="109" spans="1:13" x14ac:dyDescent="0.2">
      <c r="A109" s="37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</row>
    <row r="110" spans="1:13" x14ac:dyDescent="0.2">
      <c r="A110" s="36" t="s">
        <v>121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</row>
    <row r="111" spans="1:13" x14ac:dyDescent="0.2">
      <c r="A111" s="19" t="s">
        <v>103</v>
      </c>
      <c r="B111" s="44">
        <f>B34*B26*'1. Assumptions'!$B$101</f>
        <v>167.56740000000005</v>
      </c>
      <c r="C111" s="44">
        <f>C34*C26*'1. Assumptions'!$B$101</f>
        <v>151.35120000000003</v>
      </c>
      <c r="D111" s="44">
        <f>D34*D26*'1. Assumptions'!$B$101</f>
        <v>167.56740000000005</v>
      </c>
      <c r="E111" s="44">
        <f>E34*E26*'1. Assumptions'!$B$101</f>
        <v>162.16200000000001</v>
      </c>
      <c r="F111" s="44">
        <f>F34*F26*'1. Assumptions'!$B$101</f>
        <v>167.56740000000005</v>
      </c>
      <c r="G111" s="44">
        <f>G34*G26*'1. Assumptions'!$B$101</f>
        <v>162.16200000000001</v>
      </c>
      <c r="H111" s="44">
        <f>H34*H26*'1. Assumptions'!$B$101</f>
        <v>167.56740000000005</v>
      </c>
      <c r="I111" s="44">
        <f>I34*I26*'1. Assumptions'!$B$101</f>
        <v>167.56740000000005</v>
      </c>
      <c r="J111" s="44">
        <f>J34*J26*'1. Assumptions'!$B$101</f>
        <v>162.16200000000001</v>
      </c>
      <c r="K111" s="44">
        <f>K34*K26*'1. Assumptions'!$B$101</f>
        <v>167.56740000000005</v>
      </c>
      <c r="L111" s="44">
        <f>L34*L26*'1. Assumptions'!$B$101</f>
        <v>162.16200000000001</v>
      </c>
      <c r="M111" s="44">
        <f>M34*M26*'1. Assumptions'!$B$101</f>
        <v>167.56740000000005</v>
      </c>
    </row>
    <row r="112" spans="1:13" x14ac:dyDescent="0.2">
      <c r="A112" s="19" t="s">
        <v>100</v>
      </c>
      <c r="B112" s="44">
        <f>B34*B27*'1. Assumptions'!$B$104</f>
        <v>174.096</v>
      </c>
      <c r="C112" s="44">
        <f>C34*C27*'1. Assumptions'!$B$104</f>
        <v>157.24800000000002</v>
      </c>
      <c r="D112" s="44">
        <f>D34*D27*'1. Assumptions'!$B$104</f>
        <v>174.096</v>
      </c>
      <c r="E112" s="44">
        <f>E34*E27*'1. Assumptions'!$B$104</f>
        <v>168.48</v>
      </c>
      <c r="F112" s="44">
        <f>F34*F27*'1. Assumptions'!$B$104</f>
        <v>174.096</v>
      </c>
      <c r="G112" s="44">
        <f>G34*G27*'1. Assumptions'!$B$104</f>
        <v>168.48</v>
      </c>
      <c r="H112" s="44">
        <f>H34*H27*'1. Assumptions'!$B$104</f>
        <v>174.096</v>
      </c>
      <c r="I112" s="44">
        <f>I34*I27*'1. Assumptions'!$B$104</f>
        <v>174.096</v>
      </c>
      <c r="J112" s="44">
        <f>J34*J27*'1. Assumptions'!$B$104</f>
        <v>168.48</v>
      </c>
      <c r="K112" s="44">
        <f>K34*K27*'1. Assumptions'!$B$104</f>
        <v>174.096</v>
      </c>
      <c r="L112" s="44">
        <f>L34*L27*'1. Assumptions'!$B$104</f>
        <v>168.48</v>
      </c>
      <c r="M112" s="44">
        <f>M34*M27*'1. Assumptions'!$B$104</f>
        <v>174.096</v>
      </c>
    </row>
    <row r="113" spans="1:13" x14ac:dyDescent="0.2">
      <c r="A113" s="19" t="s">
        <v>99</v>
      </c>
      <c r="B113" s="44">
        <f>B34*B28*'1. Assumptions'!$B$107</f>
        <v>137.10060000000001</v>
      </c>
      <c r="C113" s="44">
        <f>C34*C28*'1. Assumptions'!$B$107</f>
        <v>123.83280000000002</v>
      </c>
      <c r="D113" s="44">
        <f>D34*D28*'1. Assumptions'!$B$107</f>
        <v>137.10060000000001</v>
      </c>
      <c r="E113" s="44">
        <f>E34*E28*'1. Assumptions'!$B$107</f>
        <v>132.678</v>
      </c>
      <c r="F113" s="44">
        <f>F34*F28*'1. Assumptions'!$B$107</f>
        <v>137.10060000000001</v>
      </c>
      <c r="G113" s="44">
        <f>G34*G28*'1. Assumptions'!$B$107</f>
        <v>132.678</v>
      </c>
      <c r="H113" s="44">
        <f>H34*H28*'1. Assumptions'!$B$107</f>
        <v>137.10060000000001</v>
      </c>
      <c r="I113" s="44">
        <f>I34*I28*'1. Assumptions'!$B$107</f>
        <v>137.10060000000001</v>
      </c>
      <c r="J113" s="44">
        <f>J34*J28*'1. Assumptions'!$B$107</f>
        <v>132.678</v>
      </c>
      <c r="K113" s="44">
        <f>K34*K28*'1. Assumptions'!$B$107</f>
        <v>137.10060000000001</v>
      </c>
      <c r="L113" s="44">
        <f>L34*L28*'1. Assumptions'!$B$107</f>
        <v>132.678</v>
      </c>
      <c r="M113" s="44">
        <f>M34*M28*'1. Assumptions'!$B$107</f>
        <v>137.10060000000001</v>
      </c>
    </row>
    <row r="114" spans="1:13" x14ac:dyDescent="0.2">
      <c r="A114" s="37" t="s">
        <v>123</v>
      </c>
      <c r="B114" s="45">
        <f>SUM(B111:B113)</f>
        <v>478.76400000000001</v>
      </c>
      <c r="C114" s="45">
        <f t="shared" ref="C114:M114" si="18">SUM(C111:C113)</f>
        <v>432.43200000000007</v>
      </c>
      <c r="D114" s="45">
        <f t="shared" si="18"/>
        <v>478.76400000000001</v>
      </c>
      <c r="E114" s="45">
        <f t="shared" si="18"/>
        <v>463.32</v>
      </c>
      <c r="F114" s="45">
        <f t="shared" si="18"/>
        <v>478.76400000000001</v>
      </c>
      <c r="G114" s="45">
        <f t="shared" si="18"/>
        <v>463.32</v>
      </c>
      <c r="H114" s="45">
        <f t="shared" si="18"/>
        <v>478.76400000000001</v>
      </c>
      <c r="I114" s="45">
        <f t="shared" si="18"/>
        <v>478.76400000000001</v>
      </c>
      <c r="J114" s="45">
        <f t="shared" si="18"/>
        <v>463.32</v>
      </c>
      <c r="K114" s="45">
        <f t="shared" si="18"/>
        <v>478.76400000000001</v>
      </c>
      <c r="L114" s="45">
        <f t="shared" si="18"/>
        <v>463.32</v>
      </c>
      <c r="M114" s="45">
        <f t="shared" si="18"/>
        <v>478.76400000000001</v>
      </c>
    </row>
    <row r="115" spans="1:13" x14ac:dyDescent="0.2">
      <c r="A115" s="1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</row>
    <row r="116" spans="1:13" x14ac:dyDescent="0.2">
      <c r="A116" s="36" t="s">
        <v>122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</row>
    <row r="117" spans="1:13" x14ac:dyDescent="0.2">
      <c r="A117" s="35" t="s">
        <v>103</v>
      </c>
      <c r="B117" s="44">
        <f>B35*B26*'1. Assumptions'!$B$101</f>
        <v>83.783700000000024</v>
      </c>
      <c r="C117" s="44">
        <f>C35*C26*'1. Assumptions'!$B$101</f>
        <v>75.675600000000017</v>
      </c>
      <c r="D117" s="44">
        <f>D35*D26*'1. Assumptions'!$B$101</f>
        <v>83.783700000000024</v>
      </c>
      <c r="E117" s="44">
        <f>E35*E26*'1. Assumptions'!$B$101</f>
        <v>81.081000000000003</v>
      </c>
      <c r="F117" s="44">
        <f>F35*F26*'1. Assumptions'!$B$101</f>
        <v>83.783700000000024</v>
      </c>
      <c r="G117" s="44">
        <f>G35*G26*'1. Assumptions'!$B$101</f>
        <v>81.081000000000003</v>
      </c>
      <c r="H117" s="44">
        <f>H35*H26*'1. Assumptions'!$B$101</f>
        <v>83.783700000000024</v>
      </c>
      <c r="I117" s="44">
        <f>I35*I26*'1. Assumptions'!$B$101</f>
        <v>83.783700000000024</v>
      </c>
      <c r="J117" s="44">
        <f>J35*J26*'1. Assumptions'!$B$101</f>
        <v>81.081000000000003</v>
      </c>
      <c r="K117" s="44">
        <f>K35*K26*'1. Assumptions'!$B$101</f>
        <v>83.783700000000024</v>
      </c>
      <c r="L117" s="44">
        <f>L35*L26*'1. Assumptions'!$B$101</f>
        <v>81.081000000000003</v>
      </c>
      <c r="M117" s="44">
        <f>M35*M26*'1. Assumptions'!$B$101</f>
        <v>83.783700000000024</v>
      </c>
    </row>
    <row r="118" spans="1:13" x14ac:dyDescent="0.2">
      <c r="A118" s="35" t="s">
        <v>100</v>
      </c>
      <c r="B118" s="44">
        <f>B35*B27*'1. Assumptions'!$B$104</f>
        <v>87.048000000000002</v>
      </c>
      <c r="C118" s="44">
        <f>C35*C27*'1. Assumptions'!$B$104</f>
        <v>78.624000000000009</v>
      </c>
      <c r="D118" s="44">
        <f>D35*D27*'1. Assumptions'!$B$104</f>
        <v>87.048000000000002</v>
      </c>
      <c r="E118" s="44">
        <f>E35*E27*'1. Assumptions'!$B$104</f>
        <v>84.24</v>
      </c>
      <c r="F118" s="44">
        <f>F35*F27*'1. Assumptions'!$B$104</f>
        <v>87.048000000000002</v>
      </c>
      <c r="G118" s="44">
        <f>G35*G27*'1. Assumptions'!$B$104</f>
        <v>84.24</v>
      </c>
      <c r="H118" s="44">
        <f>H35*H27*'1. Assumptions'!$B$104</f>
        <v>87.048000000000002</v>
      </c>
      <c r="I118" s="44">
        <f>I35*I27*'1. Assumptions'!$B$104</f>
        <v>87.048000000000002</v>
      </c>
      <c r="J118" s="44">
        <f>J35*J27*'1. Assumptions'!$B$104</f>
        <v>84.24</v>
      </c>
      <c r="K118" s="44">
        <f>K35*K27*'1. Assumptions'!$B$104</f>
        <v>87.048000000000002</v>
      </c>
      <c r="L118" s="44">
        <f>L35*L27*'1. Assumptions'!$B$104</f>
        <v>84.24</v>
      </c>
      <c r="M118" s="44">
        <f>M35*M27*'1. Assumptions'!$B$104</f>
        <v>87.048000000000002</v>
      </c>
    </row>
    <row r="119" spans="1:13" x14ac:dyDescent="0.2">
      <c r="A119" s="35" t="s">
        <v>99</v>
      </c>
      <c r="B119" s="44">
        <f>B35*B28*'1. Assumptions'!$B$107</f>
        <v>68.550300000000007</v>
      </c>
      <c r="C119" s="44">
        <f>C35*C28*'1. Assumptions'!$B$107</f>
        <v>61.91640000000001</v>
      </c>
      <c r="D119" s="44">
        <f>D35*D28*'1. Assumptions'!$B$107</f>
        <v>68.550300000000007</v>
      </c>
      <c r="E119" s="44">
        <f>E35*E28*'1. Assumptions'!$B$107</f>
        <v>66.338999999999999</v>
      </c>
      <c r="F119" s="44">
        <f>F35*F28*'1. Assumptions'!$B$107</f>
        <v>68.550300000000007</v>
      </c>
      <c r="G119" s="44">
        <f>G35*G28*'1. Assumptions'!$B$107</f>
        <v>66.338999999999999</v>
      </c>
      <c r="H119" s="44">
        <f>H35*H28*'1. Assumptions'!$B$107</f>
        <v>68.550300000000007</v>
      </c>
      <c r="I119" s="44">
        <f>I35*I28*'1. Assumptions'!$B$107</f>
        <v>68.550300000000007</v>
      </c>
      <c r="J119" s="44">
        <f>J35*J28*'1. Assumptions'!$B$107</f>
        <v>66.338999999999999</v>
      </c>
      <c r="K119" s="44">
        <f>K35*K28*'1. Assumptions'!$B$107</f>
        <v>68.550300000000007</v>
      </c>
      <c r="L119" s="44">
        <f>L35*L28*'1. Assumptions'!$B$107</f>
        <v>66.338999999999999</v>
      </c>
      <c r="M119" s="44">
        <f>M35*M28*'1. Assumptions'!$B$107</f>
        <v>68.550300000000007</v>
      </c>
    </row>
    <row r="120" spans="1:13" x14ac:dyDescent="0.2">
      <c r="A120" s="38" t="s">
        <v>123</v>
      </c>
      <c r="B120" s="45">
        <f>SUM(B117:B119)</f>
        <v>239.38200000000001</v>
      </c>
      <c r="C120" s="45">
        <f t="shared" ref="C120:M120" si="19">SUM(C117:C119)</f>
        <v>216.21600000000004</v>
      </c>
      <c r="D120" s="45">
        <f t="shared" si="19"/>
        <v>239.38200000000001</v>
      </c>
      <c r="E120" s="45">
        <f t="shared" si="19"/>
        <v>231.66</v>
      </c>
      <c r="F120" s="45">
        <f t="shared" si="19"/>
        <v>239.38200000000001</v>
      </c>
      <c r="G120" s="45">
        <f t="shared" si="19"/>
        <v>231.66</v>
      </c>
      <c r="H120" s="45">
        <f t="shared" si="19"/>
        <v>239.38200000000001</v>
      </c>
      <c r="I120" s="45">
        <f t="shared" si="19"/>
        <v>239.38200000000001</v>
      </c>
      <c r="J120" s="45">
        <f t="shared" si="19"/>
        <v>231.66</v>
      </c>
      <c r="K120" s="45">
        <f t="shared" si="19"/>
        <v>239.38200000000001</v>
      </c>
      <c r="L120" s="45">
        <f t="shared" si="19"/>
        <v>231.66</v>
      </c>
      <c r="M120" s="45">
        <f t="shared" si="19"/>
        <v>239.38200000000001</v>
      </c>
    </row>
    <row r="121" spans="1:13" x14ac:dyDescent="0.2">
      <c r="A121" s="1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</row>
    <row r="122" spans="1:13" x14ac:dyDescent="0.2">
      <c r="A122" s="35" t="s">
        <v>124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x14ac:dyDescent="0.2">
      <c r="A123" s="35" t="s">
        <v>103</v>
      </c>
      <c r="B123" s="44">
        <f>B36*B26*'1. Assumptions'!$B$101</f>
        <v>83.783700000000024</v>
      </c>
      <c r="C123" s="44">
        <f>C36*C26*'1. Assumptions'!$B$101</f>
        <v>75.675600000000017</v>
      </c>
      <c r="D123" s="44">
        <f>D36*D26*'1. Assumptions'!$B$101</f>
        <v>83.783700000000024</v>
      </c>
      <c r="E123" s="44">
        <f>E36*E26*'1. Assumptions'!$B$101</f>
        <v>81.081000000000003</v>
      </c>
      <c r="F123" s="44">
        <f>F36*F26*'1. Assumptions'!$B$101</f>
        <v>83.783700000000024</v>
      </c>
      <c r="G123" s="44">
        <f>G36*G26*'1. Assumptions'!$B$101</f>
        <v>81.081000000000003</v>
      </c>
      <c r="H123" s="44">
        <f>H36*H26*'1. Assumptions'!$B$101</f>
        <v>83.783700000000024</v>
      </c>
      <c r="I123" s="44">
        <f>I36*I26*'1. Assumptions'!$B$101</f>
        <v>83.783700000000024</v>
      </c>
      <c r="J123" s="44">
        <f>J36*J26*'1. Assumptions'!$B$101</f>
        <v>81.081000000000003</v>
      </c>
      <c r="K123" s="44">
        <f>K36*K26*'1. Assumptions'!$B$101</f>
        <v>83.783700000000024</v>
      </c>
      <c r="L123" s="44">
        <f>L36*L26*'1. Assumptions'!$B$101</f>
        <v>81.081000000000003</v>
      </c>
      <c r="M123" s="44">
        <f>M36*M26*'1. Assumptions'!$B$101</f>
        <v>83.783700000000024</v>
      </c>
    </row>
    <row r="124" spans="1:13" x14ac:dyDescent="0.2">
      <c r="A124" s="35" t="s">
        <v>100</v>
      </c>
      <c r="B124" s="44">
        <f>B36*B27*'1. Assumptions'!$B$104</f>
        <v>87.048000000000002</v>
      </c>
      <c r="C124" s="44">
        <f>C36*C27*'1. Assumptions'!$B$104</f>
        <v>78.624000000000009</v>
      </c>
      <c r="D124" s="44">
        <f>D36*D27*'1. Assumptions'!$B$104</f>
        <v>87.048000000000002</v>
      </c>
      <c r="E124" s="44">
        <f>E36*E27*'1. Assumptions'!$B$104</f>
        <v>84.24</v>
      </c>
      <c r="F124" s="44">
        <f>F36*F27*'1. Assumptions'!$B$104</f>
        <v>87.048000000000002</v>
      </c>
      <c r="G124" s="44">
        <f>G36*G27*'1. Assumptions'!$B$104</f>
        <v>84.24</v>
      </c>
      <c r="H124" s="44">
        <f>H36*H27*'1. Assumptions'!$B$104</f>
        <v>87.048000000000002</v>
      </c>
      <c r="I124" s="44">
        <f>I36*I27*'1. Assumptions'!$B$104</f>
        <v>87.048000000000002</v>
      </c>
      <c r="J124" s="44">
        <f>J36*J27*'1. Assumptions'!$B$104</f>
        <v>84.24</v>
      </c>
      <c r="K124" s="44">
        <f>K36*K27*'1. Assumptions'!$B$104</f>
        <v>87.048000000000002</v>
      </c>
      <c r="L124" s="44">
        <f>L36*L27*'1. Assumptions'!$B$104</f>
        <v>84.24</v>
      </c>
      <c r="M124" s="44">
        <f>M36*M27*'1. Assumptions'!$B$104</f>
        <v>87.048000000000002</v>
      </c>
    </row>
    <row r="125" spans="1:13" x14ac:dyDescent="0.2">
      <c r="A125" s="35" t="s">
        <v>99</v>
      </c>
      <c r="B125" s="44">
        <f>B36*B28*'1. Assumptions'!$B$107</f>
        <v>68.550300000000007</v>
      </c>
      <c r="C125" s="44">
        <f>C36*C28*'1. Assumptions'!$B$107</f>
        <v>61.91640000000001</v>
      </c>
      <c r="D125" s="44">
        <f>D36*D28*'1. Assumptions'!$B$107</f>
        <v>68.550300000000007</v>
      </c>
      <c r="E125" s="44">
        <f>E36*E28*'1. Assumptions'!$B$107</f>
        <v>66.338999999999999</v>
      </c>
      <c r="F125" s="44">
        <f>F36*F28*'1. Assumptions'!$B$107</f>
        <v>68.550300000000007</v>
      </c>
      <c r="G125" s="44">
        <f>G36*G28*'1. Assumptions'!$B$107</f>
        <v>66.338999999999999</v>
      </c>
      <c r="H125" s="44">
        <f>H36*H28*'1. Assumptions'!$B$107</f>
        <v>68.550300000000007</v>
      </c>
      <c r="I125" s="44">
        <f>I36*I28*'1. Assumptions'!$B$107</f>
        <v>68.550300000000007</v>
      </c>
      <c r="J125" s="44">
        <f>J36*J28*'1. Assumptions'!$B$107</f>
        <v>66.338999999999999</v>
      </c>
      <c r="K125" s="44">
        <f>K36*K28*'1. Assumptions'!$B$107</f>
        <v>68.550300000000007</v>
      </c>
      <c r="L125" s="44">
        <f>L36*L28*'1. Assumptions'!$B$107</f>
        <v>66.338999999999999</v>
      </c>
      <c r="M125" s="44">
        <f>M36*M28*'1. Assumptions'!$B$107</f>
        <v>68.550300000000007</v>
      </c>
    </row>
    <row r="126" spans="1:13" x14ac:dyDescent="0.2">
      <c r="A126" s="38" t="s">
        <v>123</v>
      </c>
      <c r="B126" s="45">
        <f>SUM(B123:B125)</f>
        <v>239.38200000000001</v>
      </c>
      <c r="C126" s="45">
        <f t="shared" ref="C126:M126" si="20">SUM(C123:C125)</f>
        <v>216.21600000000004</v>
      </c>
      <c r="D126" s="45">
        <f t="shared" si="20"/>
        <v>239.38200000000001</v>
      </c>
      <c r="E126" s="45">
        <f t="shared" si="20"/>
        <v>231.66</v>
      </c>
      <c r="F126" s="45">
        <f t="shared" si="20"/>
        <v>239.38200000000001</v>
      </c>
      <c r="G126" s="45">
        <f t="shared" si="20"/>
        <v>231.66</v>
      </c>
      <c r="H126" s="45">
        <f t="shared" si="20"/>
        <v>239.38200000000001</v>
      </c>
      <c r="I126" s="45">
        <f t="shared" si="20"/>
        <v>239.38200000000001</v>
      </c>
      <c r="J126" s="45">
        <f t="shared" si="20"/>
        <v>231.66</v>
      </c>
      <c r="K126" s="45">
        <f t="shared" si="20"/>
        <v>239.38200000000001</v>
      </c>
      <c r="L126" s="45">
        <f t="shared" si="20"/>
        <v>231.66</v>
      </c>
      <c r="M126" s="45">
        <f t="shared" si="20"/>
        <v>239.38200000000001</v>
      </c>
    </row>
    <row r="127" spans="1:13" x14ac:dyDescent="0.2">
      <c r="A127" s="1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</row>
    <row r="128" spans="1:13" x14ac:dyDescent="0.2">
      <c r="A128" s="35" t="s">
        <v>125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</row>
    <row r="129" spans="1:13" x14ac:dyDescent="0.2">
      <c r="A129" s="35" t="s">
        <v>103</v>
      </c>
      <c r="B129" s="44">
        <f>B37*B26*'1. Assumptions'!$B$101</f>
        <v>83.783700000000024</v>
      </c>
      <c r="C129" s="44">
        <f>C37*C26*'1. Assumptions'!$B$101</f>
        <v>75.675600000000017</v>
      </c>
      <c r="D129" s="44">
        <f>D37*D26*'1. Assumptions'!$B$101</f>
        <v>83.783700000000024</v>
      </c>
      <c r="E129" s="44">
        <f>E37*E26*'1. Assumptions'!$B$101</f>
        <v>81.081000000000003</v>
      </c>
      <c r="F129" s="44">
        <f>F37*F26*'1. Assumptions'!$B$101</f>
        <v>83.783700000000024</v>
      </c>
      <c r="G129" s="44">
        <f>G37*G26*'1. Assumptions'!$B$101</f>
        <v>81.081000000000003</v>
      </c>
      <c r="H129" s="44">
        <f>H37*H26*'1. Assumptions'!$B$101</f>
        <v>83.783700000000024</v>
      </c>
      <c r="I129" s="44">
        <f>I37*I26*'1. Assumptions'!$B$101</f>
        <v>83.783700000000024</v>
      </c>
      <c r="J129" s="44">
        <f>J37*J26*'1. Assumptions'!$B$101</f>
        <v>81.081000000000003</v>
      </c>
      <c r="K129" s="44">
        <f>K37*K26*'1. Assumptions'!$B$101</f>
        <v>83.783700000000024</v>
      </c>
      <c r="L129" s="44">
        <f>L37*L26*'1. Assumptions'!$B$101</f>
        <v>81.081000000000003</v>
      </c>
      <c r="M129" s="44">
        <f>M37*M26*'1. Assumptions'!$B$101</f>
        <v>83.783700000000024</v>
      </c>
    </row>
    <row r="130" spans="1:13" x14ac:dyDescent="0.2">
      <c r="A130" s="35" t="s">
        <v>100</v>
      </c>
      <c r="B130" s="44">
        <f>B37*B27*'1. Assumptions'!$B$104</f>
        <v>87.048000000000002</v>
      </c>
      <c r="C130" s="44">
        <f>C37*C27*'1. Assumptions'!$B$104</f>
        <v>78.624000000000009</v>
      </c>
      <c r="D130" s="44">
        <f>D37*D27*'1. Assumptions'!$B$104</f>
        <v>87.048000000000002</v>
      </c>
      <c r="E130" s="44">
        <f>E37*E27*'1. Assumptions'!$B$104</f>
        <v>84.24</v>
      </c>
      <c r="F130" s="44">
        <f>F37*F27*'1. Assumptions'!$B$104</f>
        <v>87.048000000000002</v>
      </c>
      <c r="G130" s="44">
        <f>G37*G27*'1. Assumptions'!$B$104</f>
        <v>84.24</v>
      </c>
      <c r="H130" s="44">
        <f>H37*H27*'1. Assumptions'!$B$104</f>
        <v>87.048000000000002</v>
      </c>
      <c r="I130" s="44">
        <f>I37*I27*'1. Assumptions'!$B$104</f>
        <v>87.048000000000002</v>
      </c>
      <c r="J130" s="44">
        <f>J37*J27*'1. Assumptions'!$B$104</f>
        <v>84.24</v>
      </c>
      <c r="K130" s="44">
        <f>K37*K27*'1. Assumptions'!$B$104</f>
        <v>87.048000000000002</v>
      </c>
      <c r="L130" s="44">
        <f>L37*L27*'1. Assumptions'!$B$104</f>
        <v>84.24</v>
      </c>
      <c r="M130" s="44">
        <f>M37*M27*'1. Assumptions'!$B$104</f>
        <v>87.048000000000002</v>
      </c>
    </row>
    <row r="131" spans="1:13" x14ac:dyDescent="0.2">
      <c r="A131" s="35" t="s">
        <v>99</v>
      </c>
      <c r="B131" s="44">
        <f>B37*B28*'1. Assumptions'!$B$107</f>
        <v>68.550300000000007</v>
      </c>
      <c r="C131" s="44">
        <f>C37*C28*'1. Assumptions'!$B$107</f>
        <v>61.91640000000001</v>
      </c>
      <c r="D131" s="44">
        <f>D37*D28*'1. Assumptions'!$B$107</f>
        <v>68.550300000000007</v>
      </c>
      <c r="E131" s="44">
        <f>E37*E28*'1. Assumptions'!$B$107</f>
        <v>66.338999999999999</v>
      </c>
      <c r="F131" s="44">
        <f>F37*F28*'1. Assumptions'!$B$107</f>
        <v>68.550300000000007</v>
      </c>
      <c r="G131" s="44">
        <f>G37*G28*'1. Assumptions'!$B$107</f>
        <v>66.338999999999999</v>
      </c>
      <c r="H131" s="44">
        <f>H37*H28*'1. Assumptions'!$B$107</f>
        <v>68.550300000000007</v>
      </c>
      <c r="I131" s="44">
        <f>I37*I28*'1. Assumptions'!$B$107</f>
        <v>68.550300000000007</v>
      </c>
      <c r="J131" s="44">
        <f>J37*J28*'1. Assumptions'!$B$107</f>
        <v>66.338999999999999</v>
      </c>
      <c r="K131" s="44">
        <f>K37*K28*'1. Assumptions'!$B$107</f>
        <v>68.550300000000007</v>
      </c>
      <c r="L131" s="44">
        <f>L37*L28*'1. Assumptions'!$B$107</f>
        <v>66.338999999999999</v>
      </c>
      <c r="M131" s="44">
        <f>M37*M28*'1. Assumptions'!$B$107</f>
        <v>68.550300000000007</v>
      </c>
    </row>
    <row r="132" spans="1:13" x14ac:dyDescent="0.2">
      <c r="A132" s="38" t="s">
        <v>123</v>
      </c>
      <c r="B132" s="45">
        <f>SUM(B129:B131)</f>
        <v>239.38200000000001</v>
      </c>
      <c r="C132" s="45">
        <f t="shared" ref="C132:M132" si="21">SUM(C129:C131)</f>
        <v>216.21600000000004</v>
      </c>
      <c r="D132" s="45">
        <f t="shared" si="21"/>
        <v>239.38200000000001</v>
      </c>
      <c r="E132" s="45">
        <f t="shared" si="21"/>
        <v>231.66</v>
      </c>
      <c r="F132" s="45">
        <f t="shared" si="21"/>
        <v>239.38200000000001</v>
      </c>
      <c r="G132" s="45">
        <f t="shared" si="21"/>
        <v>231.66</v>
      </c>
      <c r="H132" s="45">
        <f t="shared" si="21"/>
        <v>239.38200000000001</v>
      </c>
      <c r="I132" s="45">
        <f t="shared" si="21"/>
        <v>239.38200000000001</v>
      </c>
      <c r="J132" s="45">
        <f t="shared" si="21"/>
        <v>231.66</v>
      </c>
      <c r="K132" s="45">
        <f t="shared" si="21"/>
        <v>239.38200000000001</v>
      </c>
      <c r="L132" s="45">
        <f t="shared" si="21"/>
        <v>231.66</v>
      </c>
      <c r="M132" s="45">
        <f t="shared" si="21"/>
        <v>239.38200000000001</v>
      </c>
    </row>
    <row r="133" spans="1:13" x14ac:dyDescent="0.2">
      <c r="A133" s="37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</row>
    <row r="134" spans="1:13" x14ac:dyDescent="0.2">
      <c r="A134" s="37" t="s">
        <v>28</v>
      </c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</row>
    <row r="135" spans="1:13" x14ac:dyDescent="0.2">
      <c r="A135" s="35" t="s">
        <v>103</v>
      </c>
      <c r="B135" s="44">
        <f>B38*B26*'1. Assumptions'!$B$101</f>
        <v>83.783700000000024</v>
      </c>
      <c r="C135" s="44">
        <f>C38*C26*'1. Assumptions'!$B$101</f>
        <v>75.675600000000017</v>
      </c>
      <c r="D135" s="44">
        <f>D38*D26*'1. Assumptions'!$B$101</f>
        <v>83.783700000000024</v>
      </c>
      <c r="E135" s="44">
        <f>E38*E26*'1. Assumptions'!$B$101</f>
        <v>81.081000000000003</v>
      </c>
      <c r="F135" s="44">
        <f>F38*F26*'1. Assumptions'!$B$101</f>
        <v>83.783700000000024</v>
      </c>
      <c r="G135" s="44">
        <f>G38*G26*'1. Assumptions'!$B$101</f>
        <v>81.081000000000003</v>
      </c>
      <c r="H135" s="44">
        <f>H38*H26*'1. Assumptions'!$B$101</f>
        <v>83.783700000000024</v>
      </c>
      <c r="I135" s="44">
        <f>I38*I26*'1. Assumptions'!$B$101</f>
        <v>83.783700000000024</v>
      </c>
      <c r="J135" s="44">
        <f>J38*J26*'1. Assumptions'!$B$101</f>
        <v>81.081000000000003</v>
      </c>
      <c r="K135" s="44">
        <f>K38*K26*'1. Assumptions'!$B$101</f>
        <v>83.783700000000024</v>
      </c>
      <c r="L135" s="44">
        <f>L38*L26*'1. Assumptions'!$B$101</f>
        <v>81.081000000000003</v>
      </c>
      <c r="M135" s="44">
        <f>M38*M26*'1. Assumptions'!$B$101</f>
        <v>83.783700000000024</v>
      </c>
    </row>
    <row r="136" spans="1:13" x14ac:dyDescent="0.2">
      <c r="A136" s="35" t="s">
        <v>100</v>
      </c>
      <c r="B136" s="44">
        <f>B38*B27*'1. Assumptions'!$B$104</f>
        <v>87.048000000000002</v>
      </c>
      <c r="C136" s="44">
        <f>C38*C27*'1. Assumptions'!$B$104</f>
        <v>78.624000000000009</v>
      </c>
      <c r="D136" s="44">
        <f>D38*D27*'1. Assumptions'!$B$104</f>
        <v>87.048000000000002</v>
      </c>
      <c r="E136" s="44">
        <f>E38*E27*'1. Assumptions'!$B$104</f>
        <v>84.24</v>
      </c>
      <c r="F136" s="44">
        <f>F38*F27*'1. Assumptions'!$B$104</f>
        <v>87.048000000000002</v>
      </c>
      <c r="G136" s="44">
        <f>G38*G27*'1. Assumptions'!$B$104</f>
        <v>84.24</v>
      </c>
      <c r="H136" s="44">
        <f>H38*H27*'1. Assumptions'!$B$104</f>
        <v>87.048000000000002</v>
      </c>
      <c r="I136" s="44">
        <f>I38*I27*'1. Assumptions'!$B$104</f>
        <v>87.048000000000002</v>
      </c>
      <c r="J136" s="44">
        <f>J38*J27*'1. Assumptions'!$B$104</f>
        <v>84.24</v>
      </c>
      <c r="K136" s="44">
        <f>K38*K27*'1. Assumptions'!$B$104</f>
        <v>87.048000000000002</v>
      </c>
      <c r="L136" s="44">
        <f>L38*L27*'1. Assumptions'!$B$104</f>
        <v>84.24</v>
      </c>
      <c r="M136" s="44">
        <f>M38*M27*'1. Assumptions'!$B$104</f>
        <v>87.048000000000002</v>
      </c>
    </row>
    <row r="137" spans="1:13" x14ac:dyDescent="0.2">
      <c r="A137" s="35" t="s">
        <v>99</v>
      </c>
      <c r="B137" s="44">
        <f>B38*B28*'1. Assumptions'!$B$107</f>
        <v>68.550300000000007</v>
      </c>
      <c r="C137" s="44">
        <f>C38*C28*'1. Assumptions'!$B$107</f>
        <v>61.91640000000001</v>
      </c>
      <c r="D137" s="44">
        <f>D38*D28*'1. Assumptions'!$B$107</f>
        <v>68.550300000000007</v>
      </c>
      <c r="E137" s="44">
        <f>E38*E28*'1. Assumptions'!$B$107</f>
        <v>66.338999999999999</v>
      </c>
      <c r="F137" s="44">
        <f>F38*F28*'1. Assumptions'!$B$107</f>
        <v>68.550300000000007</v>
      </c>
      <c r="G137" s="44">
        <f>G38*G28*'1. Assumptions'!$B$107</f>
        <v>66.338999999999999</v>
      </c>
      <c r="H137" s="44">
        <f>H38*H28*'1. Assumptions'!$B$107</f>
        <v>68.550300000000007</v>
      </c>
      <c r="I137" s="44">
        <f>I38*I28*'1. Assumptions'!$B$107</f>
        <v>68.550300000000007</v>
      </c>
      <c r="J137" s="44">
        <f>J38*J28*'1. Assumptions'!$B$107</f>
        <v>66.338999999999999</v>
      </c>
      <c r="K137" s="44">
        <f>K38*K28*'1. Assumptions'!$B$107</f>
        <v>68.550300000000007</v>
      </c>
      <c r="L137" s="44">
        <f>L38*L28*'1. Assumptions'!$B$107</f>
        <v>66.338999999999999</v>
      </c>
      <c r="M137" s="44">
        <f>M38*M28*'1. Assumptions'!$B$107</f>
        <v>68.550300000000007</v>
      </c>
    </row>
    <row r="138" spans="1:13" x14ac:dyDescent="0.2">
      <c r="A138" s="38" t="s">
        <v>123</v>
      </c>
      <c r="B138" s="45">
        <f>SUM(B135:B137)</f>
        <v>239.38200000000001</v>
      </c>
      <c r="C138" s="45">
        <f t="shared" ref="C138:M138" si="22">SUM(C135:C137)</f>
        <v>216.21600000000004</v>
      </c>
      <c r="D138" s="45">
        <f t="shared" si="22"/>
        <v>239.38200000000001</v>
      </c>
      <c r="E138" s="45">
        <f t="shared" si="22"/>
        <v>231.66</v>
      </c>
      <c r="F138" s="45">
        <f t="shared" si="22"/>
        <v>239.38200000000001</v>
      </c>
      <c r="G138" s="45">
        <f t="shared" si="22"/>
        <v>231.66</v>
      </c>
      <c r="H138" s="45">
        <f t="shared" si="22"/>
        <v>239.38200000000001</v>
      </c>
      <c r="I138" s="45">
        <f t="shared" si="22"/>
        <v>239.38200000000001</v>
      </c>
      <c r="J138" s="45">
        <f t="shared" si="22"/>
        <v>231.66</v>
      </c>
      <c r="K138" s="45">
        <f t="shared" si="22"/>
        <v>239.38200000000001</v>
      </c>
      <c r="L138" s="45">
        <f t="shared" si="22"/>
        <v>231.66</v>
      </c>
      <c r="M138" s="45">
        <f t="shared" si="22"/>
        <v>239.38200000000001</v>
      </c>
    </row>
    <row r="139" spans="1:13" x14ac:dyDescent="0.2">
      <c r="A139" s="3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</row>
    <row r="140" spans="1:13" x14ac:dyDescent="0.2">
      <c r="A140" s="37" t="s">
        <v>126</v>
      </c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</row>
    <row r="141" spans="1:13" x14ac:dyDescent="0.2">
      <c r="A141" s="35" t="s">
        <v>103</v>
      </c>
      <c r="B141" s="44">
        <f>B39*B26*'1. Assumptions'!$B$101</f>
        <v>83.783700000000024</v>
      </c>
      <c r="C141" s="44">
        <f>C39*C26*'1. Assumptions'!$B$101</f>
        <v>75.675600000000017</v>
      </c>
      <c r="D141" s="44">
        <f>D39*D26*'1. Assumptions'!$B$101</f>
        <v>83.783700000000024</v>
      </c>
      <c r="E141" s="44">
        <f>E39*E26*'1. Assumptions'!$B$101</f>
        <v>81.081000000000003</v>
      </c>
      <c r="F141" s="44">
        <f>F39*F26*'1. Assumptions'!$B$101</f>
        <v>83.783700000000024</v>
      </c>
      <c r="G141" s="44">
        <f>G39*G26*'1. Assumptions'!$B$101</f>
        <v>81.081000000000003</v>
      </c>
      <c r="H141" s="44">
        <f>H39*H26*'1. Assumptions'!$B$101</f>
        <v>83.783700000000024</v>
      </c>
      <c r="I141" s="44">
        <f>I39*I26*'1. Assumptions'!$B$101</f>
        <v>83.783700000000024</v>
      </c>
      <c r="J141" s="44">
        <f>J39*J26*'1. Assumptions'!$B$101</f>
        <v>81.081000000000003</v>
      </c>
      <c r="K141" s="44">
        <f>K39*K26*'1. Assumptions'!$B$101</f>
        <v>83.783700000000024</v>
      </c>
      <c r="L141" s="44">
        <f>L39*L26*'1. Assumptions'!$B$101</f>
        <v>81.081000000000003</v>
      </c>
      <c r="M141" s="44">
        <f>M39*M26*'1. Assumptions'!$B$101</f>
        <v>83.783700000000024</v>
      </c>
    </row>
    <row r="142" spans="1:13" x14ac:dyDescent="0.2">
      <c r="A142" s="35" t="s">
        <v>100</v>
      </c>
      <c r="B142" s="44">
        <f>B39*B27*'1. Assumptions'!$B$104</f>
        <v>87.048000000000002</v>
      </c>
      <c r="C142" s="44">
        <f>C39*C27*'1. Assumptions'!$B$104</f>
        <v>78.624000000000009</v>
      </c>
      <c r="D142" s="44">
        <f>D39*D27*'1. Assumptions'!$B$104</f>
        <v>87.048000000000002</v>
      </c>
      <c r="E142" s="44">
        <f>E39*E27*'1. Assumptions'!$B$104</f>
        <v>84.24</v>
      </c>
      <c r="F142" s="44">
        <f>F39*F27*'1. Assumptions'!$B$104</f>
        <v>87.048000000000002</v>
      </c>
      <c r="G142" s="44">
        <f>G39*G27*'1. Assumptions'!$B$104</f>
        <v>84.24</v>
      </c>
      <c r="H142" s="44">
        <f>H39*H27*'1. Assumptions'!$B$104</f>
        <v>87.048000000000002</v>
      </c>
      <c r="I142" s="44">
        <f>I39*I27*'1. Assumptions'!$B$104</f>
        <v>87.048000000000002</v>
      </c>
      <c r="J142" s="44">
        <f>J39*J27*'1. Assumptions'!$B$104</f>
        <v>84.24</v>
      </c>
      <c r="K142" s="44">
        <f>K39*K27*'1. Assumptions'!$B$104</f>
        <v>87.048000000000002</v>
      </c>
      <c r="L142" s="44">
        <f>L39*L27*'1. Assumptions'!$B$104</f>
        <v>84.24</v>
      </c>
      <c r="M142" s="44">
        <f>M39*M27*'1. Assumptions'!$B$104</f>
        <v>87.048000000000002</v>
      </c>
    </row>
    <row r="143" spans="1:13" x14ac:dyDescent="0.2">
      <c r="A143" s="35" t="s">
        <v>99</v>
      </c>
      <c r="B143" s="44">
        <f>B39*B28*'1. Assumptions'!$B$107</f>
        <v>68.550300000000007</v>
      </c>
      <c r="C143" s="44">
        <f>C39*C28*'1. Assumptions'!$B$107</f>
        <v>61.91640000000001</v>
      </c>
      <c r="D143" s="44">
        <f>D39*D28*'1. Assumptions'!$B$107</f>
        <v>68.550300000000007</v>
      </c>
      <c r="E143" s="44">
        <f>E39*E28*'1. Assumptions'!$B$107</f>
        <v>66.338999999999999</v>
      </c>
      <c r="F143" s="44">
        <f>F39*F28*'1. Assumptions'!$B$107</f>
        <v>68.550300000000007</v>
      </c>
      <c r="G143" s="44">
        <f>G39*G28*'1. Assumptions'!$B$107</f>
        <v>66.338999999999999</v>
      </c>
      <c r="H143" s="44">
        <f>H39*H28*'1. Assumptions'!$B$107</f>
        <v>68.550300000000007</v>
      </c>
      <c r="I143" s="44">
        <f>I39*I28*'1. Assumptions'!$B$107</f>
        <v>68.550300000000007</v>
      </c>
      <c r="J143" s="44">
        <f>J39*J28*'1. Assumptions'!$B$107</f>
        <v>66.338999999999999</v>
      </c>
      <c r="K143" s="44">
        <f>K39*K28*'1. Assumptions'!$B$107</f>
        <v>68.550300000000007</v>
      </c>
      <c r="L143" s="44">
        <f>L39*L28*'1. Assumptions'!$B$107</f>
        <v>66.338999999999999</v>
      </c>
      <c r="M143" s="44">
        <f>M39*M28*'1. Assumptions'!$B$107</f>
        <v>68.550300000000007</v>
      </c>
    </row>
    <row r="144" spans="1:13" x14ac:dyDescent="0.2">
      <c r="A144" s="38" t="s">
        <v>123</v>
      </c>
      <c r="B144" s="45">
        <f>SUM(B141:B143)</f>
        <v>239.38200000000001</v>
      </c>
      <c r="C144" s="45">
        <f t="shared" ref="C144:M144" si="23">SUM(C141:C143)</f>
        <v>216.21600000000004</v>
      </c>
      <c r="D144" s="45">
        <f t="shared" si="23"/>
        <v>239.38200000000001</v>
      </c>
      <c r="E144" s="45">
        <f t="shared" si="23"/>
        <v>231.66</v>
      </c>
      <c r="F144" s="45">
        <f t="shared" si="23"/>
        <v>239.38200000000001</v>
      </c>
      <c r="G144" s="45">
        <f t="shared" si="23"/>
        <v>231.66</v>
      </c>
      <c r="H144" s="45">
        <f t="shared" si="23"/>
        <v>239.38200000000001</v>
      </c>
      <c r="I144" s="45">
        <f t="shared" si="23"/>
        <v>239.38200000000001</v>
      </c>
      <c r="J144" s="45">
        <f t="shared" si="23"/>
        <v>231.66</v>
      </c>
      <c r="K144" s="45">
        <f t="shared" si="23"/>
        <v>239.38200000000001</v>
      </c>
      <c r="L144" s="45">
        <f t="shared" si="23"/>
        <v>231.66</v>
      </c>
      <c r="M144" s="45">
        <f t="shared" si="23"/>
        <v>239.38200000000001</v>
      </c>
    </row>
    <row r="145" spans="1:14" x14ac:dyDescent="0.2">
      <c r="A145" s="1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</row>
    <row r="146" spans="1:14" x14ac:dyDescent="0.2">
      <c r="A146" s="35" t="s">
        <v>29</v>
      </c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</row>
    <row r="147" spans="1:14" x14ac:dyDescent="0.2">
      <c r="A147" s="35" t="s">
        <v>103</v>
      </c>
      <c r="B147" s="44">
        <f>B40*B26*'1. Assumptions'!$B$101</f>
        <v>97.747650000000036</v>
      </c>
      <c r="C147" s="44">
        <f>C40*C26*'1. Assumptions'!$B$101</f>
        <v>88.288200000000046</v>
      </c>
      <c r="D147" s="44">
        <f>D40*D26*'1. Assumptions'!$B$101</f>
        <v>97.747650000000036</v>
      </c>
      <c r="E147" s="44">
        <f>E40*E26*'1. Assumptions'!$B$101</f>
        <v>94.594500000000025</v>
      </c>
      <c r="F147" s="44">
        <f>F40*F26*'1. Assumptions'!$B$101</f>
        <v>97.747650000000036</v>
      </c>
      <c r="G147" s="44">
        <f>G40*G26*'1. Assumptions'!$B$101</f>
        <v>94.594500000000025</v>
      </c>
      <c r="H147" s="44">
        <f>H40*H26*'1. Assumptions'!$B$101</f>
        <v>97.747650000000036</v>
      </c>
      <c r="I147" s="44">
        <f>I40*I26*'1. Assumptions'!$B$101</f>
        <v>97.747650000000036</v>
      </c>
      <c r="J147" s="44">
        <f>J40*J26*'1. Assumptions'!$B$101</f>
        <v>94.594500000000025</v>
      </c>
      <c r="K147" s="44">
        <f>K40*K26*'1. Assumptions'!$B$101</f>
        <v>97.747650000000036</v>
      </c>
      <c r="L147" s="44">
        <f>L40*L26*'1. Assumptions'!$B$101</f>
        <v>94.594500000000025</v>
      </c>
      <c r="M147" s="44">
        <f>M40*M26*'1. Assumptions'!$B$101</f>
        <v>97.747650000000036</v>
      </c>
    </row>
    <row r="148" spans="1:14" x14ac:dyDescent="0.2">
      <c r="A148" s="35" t="s">
        <v>100</v>
      </c>
      <c r="B148" s="44">
        <f>B40*B27*'1. Assumptions'!$B$104</f>
        <v>101.55600000000001</v>
      </c>
      <c r="C148" s="44">
        <f>C40*C27*'1. Assumptions'!$B$104</f>
        <v>91.728000000000023</v>
      </c>
      <c r="D148" s="44">
        <f>D40*D27*'1. Assumptions'!$B$104</f>
        <v>101.55600000000001</v>
      </c>
      <c r="E148" s="44">
        <f>E40*E27*'1. Assumptions'!$B$104</f>
        <v>98.280000000000015</v>
      </c>
      <c r="F148" s="44">
        <f>F40*F27*'1. Assumptions'!$B$104</f>
        <v>101.55600000000001</v>
      </c>
      <c r="G148" s="44">
        <f>G40*G27*'1. Assumptions'!$B$104</f>
        <v>98.280000000000015</v>
      </c>
      <c r="H148" s="44">
        <f>H40*H27*'1. Assumptions'!$B$104</f>
        <v>101.55600000000001</v>
      </c>
      <c r="I148" s="44">
        <f>I40*I27*'1. Assumptions'!$B$104</f>
        <v>101.55600000000001</v>
      </c>
      <c r="J148" s="44">
        <f>J40*J27*'1. Assumptions'!$B$104</f>
        <v>98.280000000000015</v>
      </c>
      <c r="K148" s="44">
        <f>K40*K27*'1. Assumptions'!$B$104</f>
        <v>101.55600000000001</v>
      </c>
      <c r="L148" s="44">
        <f>L40*L27*'1. Assumptions'!$B$104</f>
        <v>98.280000000000015</v>
      </c>
      <c r="M148" s="44">
        <f>M40*M27*'1. Assumptions'!$B$104</f>
        <v>101.55600000000001</v>
      </c>
    </row>
    <row r="149" spans="1:14" x14ac:dyDescent="0.2">
      <c r="A149" s="35" t="s">
        <v>99</v>
      </c>
      <c r="B149" s="44">
        <f>B40*B28*'1. Assumptions'!$B$107</f>
        <v>79.975350000000006</v>
      </c>
      <c r="C149" s="44">
        <f>C40*C28*'1. Assumptions'!$B$107</f>
        <v>72.235800000000012</v>
      </c>
      <c r="D149" s="44">
        <f>D40*D28*'1. Assumptions'!$B$107</f>
        <v>79.975350000000006</v>
      </c>
      <c r="E149" s="44">
        <f>E40*E28*'1. Assumptions'!$B$107</f>
        <v>77.395500000000013</v>
      </c>
      <c r="F149" s="44">
        <f>F40*F28*'1. Assumptions'!$B$107</f>
        <v>79.975350000000006</v>
      </c>
      <c r="G149" s="44">
        <f>G40*G28*'1. Assumptions'!$B$107</f>
        <v>77.395500000000013</v>
      </c>
      <c r="H149" s="44">
        <f>H40*H28*'1. Assumptions'!$B$107</f>
        <v>79.975350000000006</v>
      </c>
      <c r="I149" s="44">
        <f>I40*I28*'1. Assumptions'!$B$107</f>
        <v>79.975350000000006</v>
      </c>
      <c r="J149" s="44">
        <f>J40*J28*'1. Assumptions'!$B$107</f>
        <v>77.395500000000013</v>
      </c>
      <c r="K149" s="44">
        <f>K40*K28*'1. Assumptions'!$B$107</f>
        <v>79.975350000000006</v>
      </c>
      <c r="L149" s="44">
        <f>L40*L28*'1. Assumptions'!$B$107</f>
        <v>77.395500000000013</v>
      </c>
      <c r="M149" s="44">
        <f>M40*M28*'1. Assumptions'!$B$107</f>
        <v>79.975350000000006</v>
      </c>
    </row>
    <row r="150" spans="1:14" x14ac:dyDescent="0.2">
      <c r="A150" s="38" t="s">
        <v>123</v>
      </c>
      <c r="B150" s="45">
        <f>SUM(B147:B149)</f>
        <v>279.27900000000005</v>
      </c>
      <c r="C150" s="45">
        <f t="shared" ref="C150:M150" si="24">SUM(C147:C149)</f>
        <v>252.25200000000009</v>
      </c>
      <c r="D150" s="45">
        <f t="shared" si="24"/>
        <v>279.27900000000005</v>
      </c>
      <c r="E150" s="45">
        <f t="shared" si="24"/>
        <v>270.27000000000004</v>
      </c>
      <c r="F150" s="45">
        <f t="shared" si="24"/>
        <v>279.27900000000005</v>
      </c>
      <c r="G150" s="45">
        <f t="shared" si="24"/>
        <v>270.27000000000004</v>
      </c>
      <c r="H150" s="45">
        <f t="shared" si="24"/>
        <v>279.27900000000005</v>
      </c>
      <c r="I150" s="45">
        <f t="shared" si="24"/>
        <v>279.27900000000005</v>
      </c>
      <c r="J150" s="45">
        <f t="shared" si="24"/>
        <v>270.27000000000004</v>
      </c>
      <c r="K150" s="45">
        <f t="shared" si="24"/>
        <v>279.27900000000005</v>
      </c>
      <c r="L150" s="45">
        <f t="shared" si="24"/>
        <v>270.27000000000004</v>
      </c>
      <c r="M150" s="45">
        <f t="shared" si="24"/>
        <v>279.27900000000005</v>
      </c>
    </row>
    <row r="151" spans="1:14" x14ac:dyDescent="0.2">
      <c r="A151" s="1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4" x14ac:dyDescent="0.2">
      <c r="A152" s="35" t="s">
        <v>127</v>
      </c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</row>
    <row r="153" spans="1:14" x14ac:dyDescent="0.2">
      <c r="A153" s="35" t="s">
        <v>103</v>
      </c>
      <c r="B153" s="44">
        <f>B42*B26*'1. Assumptions'!$B$101</f>
        <v>628.37775000000011</v>
      </c>
      <c r="C153" s="44">
        <f>C42*C26*'1. Assumptions'!$B$101</f>
        <v>567.56700000000012</v>
      </c>
      <c r="D153" s="44">
        <f>D42*D26*'1. Assumptions'!$B$101</f>
        <v>628.37775000000011</v>
      </c>
      <c r="E153" s="44">
        <f>E42*E26*'1. Assumptions'!$B$101</f>
        <v>608.10750000000007</v>
      </c>
      <c r="F153" s="44">
        <f>F42*F26*'1. Assumptions'!$B$101</f>
        <v>628.37775000000011</v>
      </c>
      <c r="G153" s="44">
        <f>G42*G26*'1. Assumptions'!$B$101</f>
        <v>608.10750000000007</v>
      </c>
      <c r="H153" s="44">
        <f>H42*H26*'1. Assumptions'!$B$101</f>
        <v>628.37775000000011</v>
      </c>
      <c r="I153" s="44">
        <f>I42*I26*'1. Assumptions'!$B$101</f>
        <v>628.37775000000011</v>
      </c>
      <c r="J153" s="44">
        <f>J42*J26*'1. Assumptions'!$B$101</f>
        <v>608.10750000000007</v>
      </c>
      <c r="K153" s="44">
        <f>K42*K26*'1. Assumptions'!$B$101</f>
        <v>628.37775000000011</v>
      </c>
      <c r="L153" s="44">
        <f>L42*L26*'1. Assumptions'!$B$101</f>
        <v>608.10750000000007</v>
      </c>
      <c r="M153" s="44">
        <f>M42*M26*'1. Assumptions'!$B$101</f>
        <v>628.37775000000011</v>
      </c>
    </row>
    <row r="154" spans="1:14" x14ac:dyDescent="0.2">
      <c r="A154" s="35" t="s">
        <v>100</v>
      </c>
      <c r="B154" s="44">
        <f>B42*B27*'1. Assumptions'!$B$104</f>
        <v>652.86</v>
      </c>
      <c r="C154" s="44">
        <f>C42*C27*'1. Assumptions'!$B$104</f>
        <v>589.68000000000006</v>
      </c>
      <c r="D154" s="44">
        <f>D42*D27*'1. Assumptions'!$B$104</f>
        <v>652.86</v>
      </c>
      <c r="E154" s="44">
        <f>E42*E27*'1. Assumptions'!$B$104</f>
        <v>631.80000000000007</v>
      </c>
      <c r="F154" s="44">
        <f>F42*F27*'1. Assumptions'!$B$104</f>
        <v>652.86</v>
      </c>
      <c r="G154" s="44">
        <f>G42*G27*'1. Assumptions'!$B$104</f>
        <v>631.80000000000007</v>
      </c>
      <c r="H154" s="44">
        <f>H42*H27*'1. Assumptions'!$B$104</f>
        <v>652.86</v>
      </c>
      <c r="I154" s="44">
        <f>I42*I27*'1. Assumptions'!$B$104</f>
        <v>652.86</v>
      </c>
      <c r="J154" s="44">
        <f>J42*J27*'1. Assumptions'!$B$104</f>
        <v>631.80000000000007</v>
      </c>
      <c r="K154" s="44">
        <f>K42*K27*'1. Assumptions'!$B$104</f>
        <v>652.86</v>
      </c>
      <c r="L154" s="44">
        <f>L42*L27*'1. Assumptions'!$B$104</f>
        <v>631.80000000000007</v>
      </c>
      <c r="M154" s="44">
        <f>M42*M27*'1. Assumptions'!$B$104</f>
        <v>652.86</v>
      </c>
    </row>
    <row r="155" spans="1:14" x14ac:dyDescent="0.2">
      <c r="A155" s="35" t="s">
        <v>99</v>
      </c>
      <c r="B155" s="44">
        <f>B42*B28*'1. Assumptions'!$B$107</f>
        <v>514.12725</v>
      </c>
      <c r="C155" s="44">
        <f>C42*C28*'1. Assumptions'!$B$107</f>
        <v>464.3730000000001</v>
      </c>
      <c r="D155" s="44">
        <f>D42*D28*'1. Assumptions'!$B$107</f>
        <v>514.12725</v>
      </c>
      <c r="E155" s="44">
        <f>E42*E28*'1. Assumptions'!$B$107</f>
        <v>497.54250000000008</v>
      </c>
      <c r="F155" s="44">
        <f>F42*F28*'1. Assumptions'!$B$107</f>
        <v>514.12725</v>
      </c>
      <c r="G155" s="44">
        <f>G42*G28*'1. Assumptions'!$B$107</f>
        <v>497.54250000000008</v>
      </c>
      <c r="H155" s="44">
        <f>H42*H28*'1. Assumptions'!$B$107</f>
        <v>514.12725</v>
      </c>
      <c r="I155" s="44">
        <f>I42*I28*'1. Assumptions'!$B$107</f>
        <v>514.12725</v>
      </c>
      <c r="J155" s="44">
        <f>J42*J28*'1. Assumptions'!$B$107</f>
        <v>497.54250000000008</v>
      </c>
      <c r="K155" s="44">
        <f>K42*K28*'1. Assumptions'!$B$107</f>
        <v>514.12725</v>
      </c>
      <c r="L155" s="44">
        <f>L42*L28*'1. Assumptions'!$B$107</f>
        <v>497.54250000000008</v>
      </c>
      <c r="M155" s="44">
        <f>M42*M28*'1. Assumptions'!$B$107</f>
        <v>514.12725</v>
      </c>
    </row>
    <row r="156" spans="1:14" x14ac:dyDescent="0.2">
      <c r="A156" s="35" t="s">
        <v>110</v>
      </c>
      <c r="B156" s="45">
        <f>SUM(B153:B155)</f>
        <v>1795.3650000000002</v>
      </c>
      <c r="C156" s="45">
        <f t="shared" ref="C156:M156" si="25">SUM(C153:C155)</f>
        <v>1621.6200000000003</v>
      </c>
      <c r="D156" s="45">
        <f t="shared" si="25"/>
        <v>1795.3650000000002</v>
      </c>
      <c r="E156" s="45">
        <f t="shared" si="25"/>
        <v>1737.4500000000003</v>
      </c>
      <c r="F156" s="45">
        <f t="shared" si="25"/>
        <v>1795.3650000000002</v>
      </c>
      <c r="G156" s="45">
        <f t="shared" si="25"/>
        <v>1737.4500000000003</v>
      </c>
      <c r="H156" s="45">
        <f t="shared" si="25"/>
        <v>1795.3650000000002</v>
      </c>
      <c r="I156" s="45">
        <f t="shared" si="25"/>
        <v>1795.3650000000002</v>
      </c>
      <c r="J156" s="45">
        <f t="shared" si="25"/>
        <v>1737.4500000000003</v>
      </c>
      <c r="K156" s="45">
        <f t="shared" si="25"/>
        <v>1795.3650000000002</v>
      </c>
      <c r="L156" s="45">
        <f t="shared" si="25"/>
        <v>1737.4500000000003</v>
      </c>
      <c r="M156" s="45">
        <f t="shared" si="25"/>
        <v>1795.3650000000002</v>
      </c>
    </row>
    <row r="157" spans="1:14" x14ac:dyDescent="0.2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</row>
    <row r="158" spans="1:14" x14ac:dyDescent="0.2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</row>
    <row r="159" spans="1:14" x14ac:dyDescent="0.2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</row>
    <row r="160" spans="1:14" x14ac:dyDescent="0.2">
      <c r="A160" s="41" t="s">
        <v>129</v>
      </c>
      <c r="B160" s="42">
        <f>SUM(B52,B58,B70,B76,B82,B88,B93,B100,B93)</f>
        <v>12103.298999999999</v>
      </c>
      <c r="C160" s="42">
        <f t="shared" ref="C160:M160" si="26">SUM(C52,C58,C70,C76,C82,C88,C93,C100,C93)</f>
        <v>10932.012000000001</v>
      </c>
      <c r="D160" s="42">
        <f t="shared" si="26"/>
        <v>12103.298999999999</v>
      </c>
      <c r="E160" s="42">
        <f t="shared" si="26"/>
        <v>11712.869999999999</v>
      </c>
      <c r="F160" s="42">
        <f t="shared" si="26"/>
        <v>12103.298999999999</v>
      </c>
      <c r="G160" s="42">
        <f t="shared" si="26"/>
        <v>11712.869999999999</v>
      </c>
      <c r="H160" s="42">
        <f t="shared" si="26"/>
        <v>12103.298999999999</v>
      </c>
      <c r="I160" s="42">
        <f t="shared" si="26"/>
        <v>12103.298999999999</v>
      </c>
      <c r="J160" s="42">
        <f t="shared" si="26"/>
        <v>11712.869999999999</v>
      </c>
      <c r="K160" s="42">
        <f t="shared" si="26"/>
        <v>12103.298999999999</v>
      </c>
      <c r="L160" s="42">
        <f t="shared" si="26"/>
        <v>11712.869999999999</v>
      </c>
      <c r="M160" s="42">
        <f t="shared" si="26"/>
        <v>12103.298999999999</v>
      </c>
      <c r="N160" s="42">
        <f>SUM(B160:M160)</f>
        <v>142506.58499999996</v>
      </c>
    </row>
    <row r="161" spans="1:14" x14ac:dyDescent="0.2">
      <c r="A161" s="41" t="s">
        <v>130</v>
      </c>
      <c r="B161" s="44">
        <f>SUM(B108,B114,B120,B126,B132,B138,B144,B150,B156)</f>
        <v>3989.7000000000007</v>
      </c>
      <c r="C161" s="44">
        <f t="shared" ref="C161:M161" si="27">SUM(C108,C114,C120,C126,C132,C138,C144,C150,C156)</f>
        <v>3603.6000000000013</v>
      </c>
      <c r="D161" s="44">
        <f t="shared" si="27"/>
        <v>3989.7000000000007</v>
      </c>
      <c r="E161" s="44">
        <f t="shared" si="27"/>
        <v>3861.0000000000005</v>
      </c>
      <c r="F161" s="44">
        <f t="shared" si="27"/>
        <v>3989.7000000000007</v>
      </c>
      <c r="G161" s="44">
        <f t="shared" si="27"/>
        <v>3861.0000000000005</v>
      </c>
      <c r="H161" s="44">
        <f t="shared" si="27"/>
        <v>3989.7000000000007</v>
      </c>
      <c r="I161" s="44">
        <f t="shared" si="27"/>
        <v>3989.7000000000007</v>
      </c>
      <c r="J161" s="44">
        <f t="shared" si="27"/>
        <v>3861.0000000000005</v>
      </c>
      <c r="K161" s="44">
        <f t="shared" si="27"/>
        <v>3989.7000000000007</v>
      </c>
      <c r="L161" s="44">
        <f t="shared" si="27"/>
        <v>3861.0000000000005</v>
      </c>
      <c r="M161" s="44">
        <f t="shared" si="27"/>
        <v>3989.7000000000007</v>
      </c>
      <c r="N161" s="44">
        <f>SUM(B161:M161)</f>
        <v>46975.5</v>
      </c>
    </row>
    <row r="162" spans="1:14" x14ac:dyDescent="0.2">
      <c r="A162" s="3"/>
      <c r="N162" s="29"/>
    </row>
    <row r="163" spans="1:14" x14ac:dyDescent="0.2">
      <c r="A163" s="3"/>
    </row>
    <row r="164" spans="1:14" x14ac:dyDescent="0.2">
      <c r="A164" s="3"/>
    </row>
    <row r="165" spans="1:14" x14ac:dyDescent="0.2">
      <c r="A165" s="3"/>
    </row>
    <row r="166" spans="1:14" x14ac:dyDescent="0.2">
      <c r="A166" s="3"/>
    </row>
    <row r="167" spans="1:14" x14ac:dyDescent="0.2">
      <c r="A167" s="5"/>
    </row>
    <row r="168" spans="1:14" x14ac:dyDescent="0.2">
      <c r="A16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B60E-E2D6-0242-8E4B-8FB01DC38B06}">
  <sheetPr>
    <tabColor theme="9"/>
  </sheetPr>
  <dimension ref="A1:K26"/>
  <sheetViews>
    <sheetView zoomScale="80" zoomScaleNormal="80" workbookViewId="0">
      <selection activeCell="A11" sqref="A11"/>
    </sheetView>
  </sheetViews>
  <sheetFormatPr baseColWidth="10" defaultRowHeight="16" x14ac:dyDescent="0.2"/>
  <cols>
    <col min="1" max="1" width="122" bestFit="1" customWidth="1"/>
    <col min="2" max="2" width="16.83203125" bestFit="1" customWidth="1"/>
    <col min="3" max="6" width="14.1640625" bestFit="1" customWidth="1"/>
    <col min="7" max="9" width="14.83203125" bestFit="1" customWidth="1"/>
    <col min="10" max="11" width="15.6640625" bestFit="1" customWidth="1"/>
  </cols>
  <sheetData>
    <row r="1" spans="1:11" ht="21" x14ac:dyDescent="0.25">
      <c r="A1" s="10" t="s">
        <v>63</v>
      </c>
    </row>
    <row r="2" spans="1:11" ht="17" thickBot="1" x14ac:dyDescent="0.25"/>
    <row r="3" spans="1:11" ht="17" thickBot="1" x14ac:dyDescent="0.25">
      <c r="A3" s="9" t="s">
        <v>64</v>
      </c>
      <c r="B3" s="145" t="s">
        <v>65</v>
      </c>
      <c r="C3" s="146"/>
      <c r="D3" s="146"/>
      <c r="E3" s="146"/>
      <c r="F3" s="146"/>
      <c r="G3" s="146"/>
      <c r="H3" s="146"/>
      <c r="I3" s="146"/>
      <c r="J3" s="146"/>
      <c r="K3" s="147"/>
    </row>
    <row r="4" spans="1:11" x14ac:dyDescent="0.2">
      <c r="A4" s="11"/>
      <c r="B4" s="61">
        <v>2026</v>
      </c>
      <c r="C4" s="61">
        <v>2027</v>
      </c>
      <c r="D4" s="61">
        <v>2028</v>
      </c>
      <c r="E4" s="61">
        <v>2029</v>
      </c>
      <c r="F4" s="61">
        <v>2030</v>
      </c>
      <c r="G4" s="61">
        <v>2031</v>
      </c>
      <c r="H4" s="61">
        <v>2032</v>
      </c>
      <c r="I4" s="61">
        <v>2033</v>
      </c>
      <c r="J4" s="61">
        <v>2034</v>
      </c>
      <c r="K4" s="61">
        <v>2035</v>
      </c>
    </row>
    <row r="5" spans="1:11" x14ac:dyDescent="0.2">
      <c r="A5" t="s">
        <v>30</v>
      </c>
      <c r="B5" s="46">
        <f>SUM('2026 SOPL (Best Case Scenario)'!B5:M5)</f>
        <v>251487609.75000003</v>
      </c>
      <c r="C5" s="46">
        <f>B5*1.15</f>
        <v>289210751.21250004</v>
      </c>
      <c r="D5" s="46">
        <f t="shared" ref="D5:K5" si="0">C5*1.15</f>
        <v>332592363.89437503</v>
      </c>
      <c r="E5" s="46">
        <f t="shared" si="0"/>
        <v>382481218.47853124</v>
      </c>
      <c r="F5" s="46">
        <f t="shared" si="0"/>
        <v>439853401.2503109</v>
      </c>
      <c r="G5" s="46">
        <f t="shared" si="0"/>
        <v>505831411.43785751</v>
      </c>
      <c r="H5" s="46">
        <f t="shared" si="0"/>
        <v>581706123.15353608</v>
      </c>
      <c r="I5" s="46">
        <f t="shared" si="0"/>
        <v>668962041.62656641</v>
      </c>
      <c r="J5" s="46">
        <f t="shared" si="0"/>
        <v>769306347.87055135</v>
      </c>
      <c r="K5" s="46">
        <f t="shared" si="0"/>
        <v>884702300.05113399</v>
      </c>
    </row>
    <row r="6" spans="1:11" x14ac:dyDescent="0.2">
      <c r="A6" s="3" t="s">
        <v>68</v>
      </c>
      <c r="B6" s="47">
        <v>0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</row>
    <row r="7" spans="1:11" x14ac:dyDescent="0.2">
      <c r="A7" s="3" t="s">
        <v>69</v>
      </c>
      <c r="B7" s="47">
        <f>B5-B6</f>
        <v>251487609.75000003</v>
      </c>
      <c r="C7" s="47">
        <f t="shared" ref="C7:K7" si="1">C5-C6</f>
        <v>289210751.21250004</v>
      </c>
      <c r="D7" s="47">
        <f t="shared" si="1"/>
        <v>332592363.89437503</v>
      </c>
      <c r="E7" s="47">
        <f t="shared" si="1"/>
        <v>382481218.47853124</v>
      </c>
      <c r="F7" s="47">
        <f t="shared" si="1"/>
        <v>439853401.2503109</v>
      </c>
      <c r="G7" s="47">
        <f t="shared" si="1"/>
        <v>505831411.43785751</v>
      </c>
      <c r="H7" s="47">
        <f t="shared" si="1"/>
        <v>581706123.15353608</v>
      </c>
      <c r="I7" s="47">
        <f t="shared" si="1"/>
        <v>668962041.62656641</v>
      </c>
      <c r="J7" s="47">
        <f t="shared" si="1"/>
        <v>769306347.87055135</v>
      </c>
      <c r="K7" s="47">
        <f t="shared" si="1"/>
        <v>884702300.05113399</v>
      </c>
    </row>
    <row r="8" spans="1:11" x14ac:dyDescent="0.2">
      <c r="A8" s="3" t="s">
        <v>70</v>
      </c>
      <c r="B8" s="47">
        <f>-SUM(B9:B19)</f>
        <v>-106611590.65648334</v>
      </c>
      <c r="C8" s="47">
        <f t="shared" ref="C8:K8" si="2">-SUM(C9:C19)</f>
        <v>-112762108.558851</v>
      </c>
      <c r="D8" s="47">
        <f t="shared" si="2"/>
        <v>-118543064.33843471</v>
      </c>
      <c r="E8" s="47">
        <f t="shared" si="2"/>
        <v>-124279474.45121798</v>
      </c>
      <c r="F8" s="47">
        <f t="shared" si="2"/>
        <v>-130296968.65952767</v>
      </c>
      <c r="G8" s="47">
        <f t="shared" si="2"/>
        <v>-136385849.88404447</v>
      </c>
      <c r="H8" s="47">
        <f t="shared" si="2"/>
        <v>-143007506.52836275</v>
      </c>
      <c r="I8" s="47">
        <f t="shared" si="2"/>
        <v>-149953624.34825245</v>
      </c>
      <c r="J8" s="47">
        <f t="shared" si="2"/>
        <v>-157240101.94131681</v>
      </c>
      <c r="K8" s="47">
        <f t="shared" si="2"/>
        <v>-164883616.93644133</v>
      </c>
    </row>
    <row r="9" spans="1:11" x14ac:dyDescent="0.2">
      <c r="A9" s="3" t="s">
        <v>71</v>
      </c>
      <c r="B9" s="47">
        <f>SUM('2026 SOPL (Best Case Scenario)'!B18:M18)</f>
        <v>41362612.102678567</v>
      </c>
      <c r="C9" s="46">
        <f t="shared" ref="C9:C19" si="3">B9*1.049</f>
        <v>43389380.095709816</v>
      </c>
      <c r="D9" s="46">
        <f t="shared" ref="D9:K9" si="4">C9*1.049</f>
        <v>45515459.720399596</v>
      </c>
      <c r="E9" s="46">
        <f t="shared" si="4"/>
        <v>47745717.246699169</v>
      </c>
      <c r="F9" s="46">
        <f t="shared" si="4"/>
        <v>50085257.391787425</v>
      </c>
      <c r="G9" s="46">
        <f t="shared" si="4"/>
        <v>52539435.003985003</v>
      </c>
      <c r="H9" s="46">
        <f t="shared" si="4"/>
        <v>55113867.319180265</v>
      </c>
      <c r="I9" s="46">
        <f t="shared" si="4"/>
        <v>57814446.817820095</v>
      </c>
      <c r="J9" s="46">
        <f t="shared" si="4"/>
        <v>60647354.711893275</v>
      </c>
      <c r="K9" s="46">
        <f t="shared" si="4"/>
        <v>63619075.092776045</v>
      </c>
    </row>
    <row r="10" spans="1:11" x14ac:dyDescent="0.2">
      <c r="A10" s="3" t="s">
        <v>72</v>
      </c>
      <c r="B10" s="47">
        <f>SUM('2026 SOPL (Best Case Scenario)'!B19:M19)</f>
        <v>58673250.569196425</v>
      </c>
      <c r="C10" s="46">
        <f t="shared" si="3"/>
        <v>61548239.847087048</v>
      </c>
      <c r="D10" s="46">
        <f t="shared" ref="D10:K10" si="5">C10*1.049</f>
        <v>64564103.59959431</v>
      </c>
      <c r="E10" s="46">
        <f t="shared" si="5"/>
        <v>67727744.675974429</v>
      </c>
      <c r="F10" s="46">
        <f t="shared" si="5"/>
        <v>71046404.165097177</v>
      </c>
      <c r="G10" s="46">
        <f t="shared" si="5"/>
        <v>74527677.969186932</v>
      </c>
      <c r="H10" s="46">
        <f t="shared" si="5"/>
        <v>78179534.189677089</v>
      </c>
      <c r="I10" s="46">
        <f t="shared" si="5"/>
        <v>82010331.364971265</v>
      </c>
      <c r="J10" s="46">
        <f t="shared" si="5"/>
        <v>86028837.601854846</v>
      </c>
      <c r="K10" s="46">
        <f t="shared" si="5"/>
        <v>90244250.644345731</v>
      </c>
    </row>
    <row r="11" spans="1:11" x14ac:dyDescent="0.2">
      <c r="A11" s="3" t="s">
        <v>269</v>
      </c>
      <c r="B11" s="47">
        <f>SUM('2026 SOPL (Best Case Scenario)'!B20:M20)</f>
        <v>223470.19999999998</v>
      </c>
      <c r="C11" s="46">
        <f>SUM('Projected BS'!C44,'Projected BS'!D60,'Projected BS'!C66)</f>
        <v>1160970.2</v>
      </c>
      <c r="D11" s="46">
        <f>SUM('Projected BS'!D44,'Projected BS'!E60,'Projected BS'!D66)</f>
        <v>1473470.2</v>
      </c>
      <c r="E11" s="46">
        <f>SUM('Projected BS'!E44,'Projected BS'!F60,'Projected BS'!E66)</f>
        <v>1473470.2</v>
      </c>
      <c r="F11" s="46">
        <f>SUM('Projected BS'!F44,'Projected BS'!G60,'Projected BS'!F66)</f>
        <v>1473470.2</v>
      </c>
      <c r="G11" s="46">
        <f>SUM('Projected BS'!G44,'Projected BS'!H60,'Projected BS'!G66)</f>
        <v>1250000</v>
      </c>
      <c r="H11" s="46">
        <f>SUM('Projected BS'!H44,'Projected BS'!I60,'Projected BS'!H66)</f>
        <v>1250000</v>
      </c>
      <c r="I11" s="46">
        <f>SUM('Projected BS'!I44,'Projected BS'!J60,'Projected BS'!I66)</f>
        <v>1250000</v>
      </c>
      <c r="J11" s="46">
        <f>SUM('Projected BS'!J44,'Projected BS'!K60,'Projected BS'!J66)</f>
        <v>1250000</v>
      </c>
      <c r="K11" s="46">
        <f>SUM('Projected BS'!K44,'Projected BS'!L60,'Projected BS'!K66)</f>
        <v>1250000</v>
      </c>
    </row>
    <row r="12" spans="1:11" x14ac:dyDescent="0.2">
      <c r="A12" s="3" t="s">
        <v>73</v>
      </c>
      <c r="B12" s="47">
        <f>SUM('2026 SOPL (Best Case Scenario)'!B21:M21)</f>
        <v>240189.78460833151</v>
      </c>
      <c r="C12" s="46">
        <f t="shared" si="3"/>
        <v>251959.08405413973</v>
      </c>
      <c r="D12" s="46">
        <f t="shared" ref="D12:K12" si="6">C12*1.049</f>
        <v>264305.07917279255</v>
      </c>
      <c r="E12" s="46">
        <f t="shared" si="6"/>
        <v>277256.02805225935</v>
      </c>
      <c r="F12" s="46">
        <f t="shared" si="6"/>
        <v>290841.57342682005</v>
      </c>
      <c r="G12" s="46">
        <f t="shared" si="6"/>
        <v>305092.8105247342</v>
      </c>
      <c r="H12" s="46">
        <f t="shared" si="6"/>
        <v>320042.35824044613</v>
      </c>
      <c r="I12" s="46">
        <f t="shared" si="6"/>
        <v>335724.43379422795</v>
      </c>
      <c r="J12" s="46">
        <f t="shared" si="6"/>
        <v>352174.93105014513</v>
      </c>
      <c r="K12" s="46">
        <f t="shared" si="6"/>
        <v>369431.50267160224</v>
      </c>
    </row>
    <row r="13" spans="1:11" x14ac:dyDescent="0.2">
      <c r="A13" s="3" t="s">
        <v>74</v>
      </c>
      <c r="B13" s="47">
        <f>SUM('2026 SOPL (Best Case Scenario)'!B22:M22)</f>
        <v>4976640</v>
      </c>
      <c r="C13" s="46">
        <f t="shared" si="3"/>
        <v>5220495.3599999994</v>
      </c>
      <c r="D13" s="46">
        <f t="shared" ref="D13:K13" si="7">C13*1.049</f>
        <v>5476299.6326399986</v>
      </c>
      <c r="E13" s="46">
        <f t="shared" si="7"/>
        <v>5744638.3146393578</v>
      </c>
      <c r="F13" s="46">
        <f t="shared" si="7"/>
        <v>6026125.5920566861</v>
      </c>
      <c r="G13" s="46">
        <f t="shared" si="7"/>
        <v>6321405.7460674634</v>
      </c>
      <c r="H13" s="46">
        <f t="shared" si="7"/>
        <v>6631154.6276247688</v>
      </c>
      <c r="I13" s="46">
        <f t="shared" si="7"/>
        <v>6956081.2043783823</v>
      </c>
      <c r="J13" s="46">
        <f t="shared" si="7"/>
        <v>7296929.1833929224</v>
      </c>
      <c r="K13" s="46">
        <f t="shared" si="7"/>
        <v>7654478.7133791754</v>
      </c>
    </row>
    <row r="14" spans="1:11" x14ac:dyDescent="0.2">
      <c r="A14" s="3" t="s">
        <v>75</v>
      </c>
      <c r="B14" s="47">
        <f>SUM('2026 SOPL (Best Case Scenario)'!B23:M23)</f>
        <v>30000</v>
      </c>
      <c r="C14" s="46">
        <f t="shared" si="3"/>
        <v>31469.999999999996</v>
      </c>
      <c r="D14" s="46">
        <f t="shared" ref="D14:K14" si="8">C14*1.049</f>
        <v>33012.029999999992</v>
      </c>
      <c r="E14" s="46">
        <f t="shared" si="8"/>
        <v>34629.619469999991</v>
      </c>
      <c r="F14" s="46">
        <f t="shared" si="8"/>
        <v>36326.470824029988</v>
      </c>
      <c r="G14" s="46">
        <f t="shared" si="8"/>
        <v>38106.467894407455</v>
      </c>
      <c r="H14" s="46">
        <f t="shared" si="8"/>
        <v>39973.684821233415</v>
      </c>
      <c r="I14" s="46">
        <f t="shared" si="8"/>
        <v>41932.395377473847</v>
      </c>
      <c r="J14" s="46">
        <f t="shared" si="8"/>
        <v>43987.082750970061</v>
      </c>
      <c r="K14" s="46">
        <f t="shared" si="8"/>
        <v>46142.449805767588</v>
      </c>
    </row>
    <row r="15" spans="1:11" x14ac:dyDescent="0.2">
      <c r="A15" s="3" t="s">
        <v>76</v>
      </c>
      <c r="B15" s="48">
        <f>SUM('2026 SOPL (Best Case Scenario)'!B24:M24)</f>
        <v>24883.199999999993</v>
      </c>
      <c r="C15" s="46">
        <f t="shared" si="3"/>
        <v>26102.476799999993</v>
      </c>
      <c r="D15" s="46">
        <f t="shared" ref="D15:K19" si="9">C15*1.049</f>
        <v>27381.498163199991</v>
      </c>
      <c r="E15" s="46">
        <f t="shared" si="9"/>
        <v>28723.191573196789</v>
      </c>
      <c r="F15" s="46">
        <f t="shared" si="9"/>
        <v>30130.627960283429</v>
      </c>
      <c r="G15" s="46">
        <f t="shared" si="9"/>
        <v>31607.028730337315</v>
      </c>
      <c r="H15" s="46">
        <f t="shared" si="9"/>
        <v>33155.773138123841</v>
      </c>
      <c r="I15" s="46">
        <f t="shared" si="9"/>
        <v>34780.406021891904</v>
      </c>
      <c r="J15" s="46">
        <f t="shared" si="9"/>
        <v>36484.645916964604</v>
      </c>
      <c r="K15" s="46">
        <f t="shared" si="9"/>
        <v>38272.393566895866</v>
      </c>
    </row>
    <row r="16" spans="1:11" x14ac:dyDescent="0.2">
      <c r="A16" s="3" t="s">
        <v>77</v>
      </c>
      <c r="B16" s="48">
        <f>SUM('2026 SOPL (Best Case Scenario)'!B25:M25)</f>
        <v>497664</v>
      </c>
      <c r="C16" s="46">
        <f t="shared" si="3"/>
        <v>522049.53599999996</v>
      </c>
      <c r="D16" s="46">
        <f t="shared" si="9"/>
        <v>547629.9632639999</v>
      </c>
      <c r="E16" s="46">
        <f t="shared" si="9"/>
        <v>574463.8314639359</v>
      </c>
      <c r="F16" s="46">
        <f t="shared" si="9"/>
        <v>602612.55920566875</v>
      </c>
      <c r="G16" s="46">
        <f t="shared" si="9"/>
        <v>632140.57460674644</v>
      </c>
      <c r="H16" s="46">
        <f t="shared" si="9"/>
        <v>663115.46276247699</v>
      </c>
      <c r="I16" s="46">
        <f t="shared" si="9"/>
        <v>695608.12043783837</v>
      </c>
      <c r="J16" s="46">
        <f t="shared" si="9"/>
        <v>729692.9183392924</v>
      </c>
      <c r="K16" s="46">
        <f t="shared" si="9"/>
        <v>765447.87133791763</v>
      </c>
    </row>
    <row r="17" spans="1:11" x14ac:dyDescent="0.2">
      <c r="A17" s="3" t="s">
        <v>78</v>
      </c>
      <c r="B17" s="48">
        <f>SUM('2026 SOPL (Best Case Scenario)'!B26:M26)</f>
        <v>6600</v>
      </c>
      <c r="C17" s="46">
        <f t="shared" si="3"/>
        <v>6923.4</v>
      </c>
      <c r="D17" s="46">
        <f t="shared" si="9"/>
        <v>7262.6465999999991</v>
      </c>
      <c r="E17" s="46">
        <f t="shared" si="9"/>
        <v>7618.5162833999984</v>
      </c>
      <c r="F17" s="46">
        <f t="shared" si="9"/>
        <v>7991.8235812865978</v>
      </c>
      <c r="G17" s="46">
        <f t="shared" si="9"/>
        <v>8383.4229367696407</v>
      </c>
      <c r="H17" s="46">
        <f t="shared" si="9"/>
        <v>8794.2106606713533</v>
      </c>
      <c r="I17" s="46">
        <f t="shared" si="9"/>
        <v>9225.1269830442488</v>
      </c>
      <c r="J17" s="46">
        <f t="shared" si="9"/>
        <v>9677.1582052134163</v>
      </c>
      <c r="K17" s="46">
        <f t="shared" si="9"/>
        <v>10151.338957268874</v>
      </c>
    </row>
    <row r="18" spans="1:11" x14ac:dyDescent="0.2">
      <c r="A18" s="3" t="s">
        <v>87</v>
      </c>
      <c r="B18" s="48">
        <f>SUM('2026 SOPL (Best Case Scenario)'!B27:M27)</f>
        <v>396280.8000000001</v>
      </c>
      <c r="C18" s="46">
        <f t="shared" si="3"/>
        <v>415698.55920000008</v>
      </c>
      <c r="D18" s="46">
        <f t="shared" si="9"/>
        <v>436067.78860080004</v>
      </c>
      <c r="E18" s="46">
        <f t="shared" si="9"/>
        <v>457435.1102422392</v>
      </c>
      <c r="F18" s="46">
        <f t="shared" si="9"/>
        <v>479849.43064410891</v>
      </c>
      <c r="G18" s="46">
        <f t="shared" si="9"/>
        <v>503362.0527456702</v>
      </c>
      <c r="H18" s="46">
        <f t="shared" si="9"/>
        <v>528026.79333020805</v>
      </c>
      <c r="I18" s="46">
        <f t="shared" si="9"/>
        <v>553900.10620338819</v>
      </c>
      <c r="J18" s="46">
        <f t="shared" si="9"/>
        <v>581041.21140735422</v>
      </c>
      <c r="K18" s="46">
        <f t="shared" si="9"/>
        <v>609512.23076631455</v>
      </c>
    </row>
    <row r="19" spans="1:11" x14ac:dyDescent="0.2">
      <c r="A19" s="3" t="s">
        <v>79</v>
      </c>
      <c r="B19" s="48">
        <f>SUM('2026 SOPL (Best Case Scenario)'!B28:M28)</f>
        <v>180000</v>
      </c>
      <c r="C19" s="46">
        <f t="shared" si="3"/>
        <v>188820</v>
      </c>
      <c r="D19" s="46">
        <f t="shared" si="9"/>
        <v>198072.18</v>
      </c>
      <c r="E19" s="46">
        <f t="shared" si="9"/>
        <v>207777.71681999997</v>
      </c>
      <c r="F19" s="46">
        <f t="shared" si="9"/>
        <v>217958.82494417997</v>
      </c>
      <c r="G19" s="46">
        <f t="shared" si="9"/>
        <v>228638.80736644479</v>
      </c>
      <c r="H19" s="46">
        <f t="shared" si="9"/>
        <v>239842.10892740058</v>
      </c>
      <c r="I19" s="46">
        <f t="shared" si="9"/>
        <v>251594.3722648432</v>
      </c>
      <c r="J19" s="46">
        <f t="shared" si="9"/>
        <v>263922.49650582048</v>
      </c>
      <c r="K19" s="46">
        <f t="shared" si="9"/>
        <v>276854.69883460569</v>
      </c>
    </row>
    <row r="20" spans="1:11" x14ac:dyDescent="0.2">
      <c r="A20" s="3" t="s">
        <v>80</v>
      </c>
      <c r="B20" s="46">
        <f>SUM(B7:B8)</f>
        <v>144876019.09351671</v>
      </c>
      <c r="C20" s="46">
        <f t="shared" ref="C20:K20" si="10">SUM(C7:C8)</f>
        <v>176448642.65364903</v>
      </c>
      <c r="D20" s="46">
        <f t="shared" si="10"/>
        <v>214049299.55594033</v>
      </c>
      <c r="E20" s="46">
        <f t="shared" si="10"/>
        <v>258201744.02731326</v>
      </c>
      <c r="F20" s="46">
        <f t="shared" si="10"/>
        <v>309556432.59078324</v>
      </c>
      <c r="G20" s="46">
        <f t="shared" si="10"/>
        <v>369445561.55381304</v>
      </c>
      <c r="H20" s="46">
        <f t="shared" si="10"/>
        <v>438698616.62517333</v>
      </c>
      <c r="I20" s="46">
        <f t="shared" si="10"/>
        <v>519008417.27831399</v>
      </c>
      <c r="J20" s="46">
        <f t="shared" si="10"/>
        <v>612066245.9292345</v>
      </c>
      <c r="K20" s="46">
        <f t="shared" si="10"/>
        <v>719818683.11469269</v>
      </c>
    </row>
    <row r="21" spans="1:11" x14ac:dyDescent="0.2">
      <c r="A21" s="3" t="s">
        <v>81</v>
      </c>
      <c r="B21" s="46">
        <f>SUM('2026 SOPL (Best Case Scenario)'!B30:M30)</f>
        <v>-346764.63325255411</v>
      </c>
      <c r="C21" s="46">
        <f>-'Projected BS'!$C$75*12</f>
        <v>-346764.63325255411</v>
      </c>
      <c r="D21" s="46">
        <f>-'Projected BS'!$C$75*12</f>
        <v>-346764.63325255411</v>
      </c>
      <c r="E21" s="46">
        <f>-'Projected BS'!$C$75*12</f>
        <v>-346764.63325255411</v>
      </c>
      <c r="F21" s="46">
        <f>-'Projected BS'!$C$75*12</f>
        <v>-346764.63325255411</v>
      </c>
      <c r="G21" s="46">
        <f>-'Projected BS'!$C$75*12</f>
        <v>-346764.63325255411</v>
      </c>
      <c r="H21" s="46">
        <f>-'Projected BS'!$C$75*12</f>
        <v>-346764.63325255411</v>
      </c>
      <c r="I21" s="46">
        <f>-'Projected BS'!$C$75*12</f>
        <v>-346764.63325255411</v>
      </c>
      <c r="J21" s="46">
        <f>-'Projected BS'!$C$75*12</f>
        <v>-346764.63325255411</v>
      </c>
      <c r="K21" s="46">
        <f>-'Projected BS'!$C$75*12</f>
        <v>-346764.63325255411</v>
      </c>
    </row>
    <row r="22" spans="1:11" x14ac:dyDescent="0.2">
      <c r="A22" s="3" t="s">
        <v>82</v>
      </c>
      <c r="B22" s="46">
        <f>SUM(B20,B21)</f>
        <v>144529254.46026415</v>
      </c>
      <c r="C22" s="46">
        <f t="shared" ref="C22:K22" si="11">SUM(C20,C21)</f>
        <v>176101878.02039647</v>
      </c>
      <c r="D22" s="46">
        <f t="shared" si="11"/>
        <v>213702534.92268777</v>
      </c>
      <c r="E22" s="46">
        <f t="shared" si="11"/>
        <v>257854979.3940607</v>
      </c>
      <c r="F22" s="46">
        <f t="shared" si="11"/>
        <v>309209667.95753068</v>
      </c>
      <c r="G22" s="46">
        <f t="shared" si="11"/>
        <v>369098796.92056048</v>
      </c>
      <c r="H22" s="46">
        <f t="shared" si="11"/>
        <v>438351851.99192077</v>
      </c>
      <c r="I22" s="46">
        <f t="shared" si="11"/>
        <v>518661652.64506143</v>
      </c>
      <c r="J22" s="46">
        <f t="shared" si="11"/>
        <v>611719481.295982</v>
      </c>
      <c r="K22" s="46">
        <f t="shared" si="11"/>
        <v>719471918.48144019</v>
      </c>
    </row>
    <row r="23" spans="1:11" x14ac:dyDescent="0.2">
      <c r="A23" s="3" t="s">
        <v>83</v>
      </c>
      <c r="B23" s="46">
        <f>-B22*27%</f>
        <v>-39022898.704271324</v>
      </c>
      <c r="C23" s="46">
        <f t="shared" ref="C23:F23" si="12">-C22*27%</f>
        <v>-47547507.065507047</v>
      </c>
      <c r="D23" s="46">
        <f t="shared" si="12"/>
        <v>-57699684.429125704</v>
      </c>
      <c r="E23" s="46">
        <f t="shared" si="12"/>
        <v>-69620844.43639639</v>
      </c>
      <c r="F23" s="46">
        <f t="shared" si="12"/>
        <v>-83486610.348533288</v>
      </c>
      <c r="G23" s="46">
        <f>-G22*27%</f>
        <v>-99656675.168551341</v>
      </c>
      <c r="H23" s="46">
        <f t="shared" ref="H23" si="13">-H22*27%</f>
        <v>-118355000.03781861</v>
      </c>
      <c r="I23" s="46">
        <f t="shared" ref="I23" si="14">-I22*27%</f>
        <v>-140038646.21416658</v>
      </c>
      <c r="J23" s="46">
        <f t="shared" ref="J23" si="15">-J22*27%</f>
        <v>-165164259.94991514</v>
      </c>
      <c r="K23" s="46">
        <f t="shared" ref="K23" si="16">-K22*27%</f>
        <v>-194257417.98998886</v>
      </c>
    </row>
    <row r="24" spans="1:11" x14ac:dyDescent="0.2">
      <c r="A24" s="3" t="s">
        <v>84</v>
      </c>
      <c r="B24" s="46">
        <f>SUM(B22:B23)</f>
        <v>105506355.75599283</v>
      </c>
      <c r="C24" s="46">
        <f t="shared" ref="C24:K24" si="17">SUM(C22:C23)</f>
        <v>128554370.95488942</v>
      </c>
      <c r="D24" s="46">
        <f t="shared" si="17"/>
        <v>156002850.49356207</v>
      </c>
      <c r="E24" s="46">
        <f t="shared" si="17"/>
        <v>188234134.95766431</v>
      </c>
      <c r="F24" s="46">
        <f t="shared" si="17"/>
        <v>225723057.6089974</v>
      </c>
      <c r="G24" s="46">
        <f t="shared" si="17"/>
        <v>269442121.75200915</v>
      </c>
      <c r="H24" s="46">
        <f t="shared" si="17"/>
        <v>319996851.95410216</v>
      </c>
      <c r="I24" s="46">
        <f t="shared" si="17"/>
        <v>378623006.43089485</v>
      </c>
      <c r="J24" s="46">
        <f t="shared" si="17"/>
        <v>446555221.34606683</v>
      </c>
      <c r="K24" s="46">
        <f t="shared" si="17"/>
        <v>525214500.49145132</v>
      </c>
    </row>
    <row r="25" spans="1:11" x14ac:dyDescent="0.2"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B26" s="46"/>
      <c r="C26" s="46"/>
      <c r="D26" s="46"/>
      <c r="E26" s="46"/>
      <c r="F26" s="46"/>
      <c r="G26" s="46"/>
      <c r="H26" s="46"/>
      <c r="I26" s="46"/>
      <c r="J26" s="46"/>
      <c r="K26" s="46"/>
    </row>
  </sheetData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of content</vt:lpstr>
      <vt:lpstr>1. Assumptions</vt:lpstr>
      <vt:lpstr>Potential Partnerships</vt:lpstr>
      <vt:lpstr>Brands - MMK</vt:lpstr>
      <vt:lpstr>Membership Income</vt:lpstr>
      <vt:lpstr>SAICA Association</vt:lpstr>
      <vt:lpstr>Qualifications</vt:lpstr>
      <vt:lpstr>2. Clients secured</vt:lpstr>
      <vt:lpstr>3. SOPL (Best Case Scenario)</vt:lpstr>
      <vt:lpstr>2026 SOPL (Best Case Scenario)</vt:lpstr>
      <vt:lpstr>SOPL (Worst Case Scenario)</vt:lpstr>
      <vt:lpstr>2026 SOPL (Worst Case Scenario)</vt:lpstr>
      <vt:lpstr>Projected BS</vt:lpstr>
      <vt:lpstr>Projected CFS</vt:lpstr>
      <vt:lpstr>2026 CFS (Best Case)</vt:lpstr>
      <vt:lpstr>2026 CFS (Worst Case)</vt:lpstr>
      <vt:lpstr>NPV Calculation (Best Case)</vt:lpstr>
      <vt:lpstr>NPV Calculation (Worst Case)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Masego Koape</dc:creator>
  <cp:lastModifiedBy>Masego Koape</cp:lastModifiedBy>
  <dcterms:created xsi:type="dcterms:W3CDTF">2025-07-25T17:53:23Z</dcterms:created>
  <dcterms:modified xsi:type="dcterms:W3CDTF">2025-10-29T18:12:07Z</dcterms:modified>
</cp:coreProperties>
</file>